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ADMINISTRACION 2021-2024\TRANSPARENCIA\Información mesual ejercicio fiscal 2021\12 DICIEMBRE 2021\INFORMACION PARA TRANSPARENCIA\4 INCISO G NOMINAS DEL SUJETO OBLIGADO DICIEMBRE 2021\"/>
    </mc:Choice>
  </mc:AlternateContent>
  <bookViews>
    <workbookView xWindow="0" yWindow="0" windowWidth="28800" windowHeight="12432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JUBILADOS!$C$3:$K$29</definedName>
    <definedName name="_xlnm.Print_Area" localSheetId="2">PERMANENTES!$B$2:$O$34</definedName>
    <definedName name="_xlnm.Print_Area" localSheetId="1">REGIDORES!$A$3:$N$35</definedName>
    <definedName name="_xlnm.Print_Area" localSheetId="4">'SEG.PUB.MPAL Y PROTECCION CIVIL'!$C$2:$N$47</definedName>
    <definedName name="_xlnm.Print_Area" localSheetId="3">SUPERNUMERARIO!$B$125:$O$178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J83" i="123" l="1"/>
  <c r="K83" i="123"/>
  <c r="L83" i="123"/>
  <c r="M83" i="123"/>
  <c r="N83" i="123"/>
  <c r="I83" i="123"/>
  <c r="N53" i="123"/>
  <c r="J18" i="125" l="1"/>
  <c r="J110" i="120"/>
  <c r="M110" i="120"/>
  <c r="I110" i="120"/>
  <c r="J35" i="120"/>
  <c r="M35" i="120"/>
  <c r="I35" i="120"/>
  <c r="L28" i="120"/>
  <c r="K28" i="120"/>
  <c r="N28" i="120" s="1"/>
  <c r="L125" i="120"/>
  <c r="P29" i="120" l="1"/>
  <c r="P33" i="120"/>
  <c r="P15" i="120"/>
  <c r="P18" i="120"/>
  <c r="P22" i="120"/>
  <c r="P24" i="120"/>
  <c r="P25" i="120"/>
  <c r="I62" i="120"/>
  <c r="L48" i="120"/>
  <c r="J62" i="120"/>
  <c r="M62" i="120"/>
  <c r="I47" i="124"/>
  <c r="L16" i="120" l="1"/>
  <c r="M41" i="123"/>
  <c r="I41" i="123"/>
  <c r="J108" i="123"/>
  <c r="L108" i="123" s="1"/>
  <c r="L34" i="123"/>
  <c r="N34" i="123" s="1"/>
  <c r="P16" i="120" l="1"/>
  <c r="N16" i="120"/>
  <c r="K108" i="123"/>
  <c r="N108" i="123" s="1"/>
  <c r="D91" i="120"/>
  <c r="J120" i="123" l="1"/>
  <c r="L21" i="123"/>
  <c r="K21" i="123"/>
  <c r="I40" i="124"/>
  <c r="I120" i="123"/>
  <c r="L79" i="123"/>
  <c r="K79" i="123"/>
  <c r="L107" i="123"/>
  <c r="N107" i="123" s="1"/>
  <c r="N79" i="123" l="1"/>
  <c r="N21" i="123"/>
  <c r="L36" i="124"/>
  <c r="K36" i="124"/>
  <c r="M36" i="124" s="1"/>
  <c r="K23" i="124"/>
  <c r="L23" i="124"/>
  <c r="M23" i="124"/>
  <c r="K24" i="124"/>
  <c r="M24" i="124" s="1"/>
  <c r="L24" i="124"/>
  <c r="K25" i="124"/>
  <c r="L25" i="124"/>
  <c r="K26" i="124"/>
  <c r="L26" i="124"/>
  <c r="K27" i="124"/>
  <c r="L27" i="124"/>
  <c r="L28" i="124"/>
  <c r="M28" i="124" s="1"/>
  <c r="L29" i="124"/>
  <c r="M29" i="124"/>
  <c r="L30" i="124"/>
  <c r="M30" i="124" s="1"/>
  <c r="L31" i="124"/>
  <c r="M31" i="124" s="1"/>
  <c r="K32" i="124"/>
  <c r="L32" i="124"/>
  <c r="K33" i="124"/>
  <c r="L33" i="124"/>
  <c r="K34" i="124"/>
  <c r="L34" i="124"/>
  <c r="K35" i="124"/>
  <c r="M35" i="124" s="1"/>
  <c r="L35" i="124"/>
  <c r="M32" i="124" l="1"/>
  <c r="M27" i="124"/>
  <c r="M25" i="124"/>
  <c r="M34" i="124"/>
  <c r="M26" i="124"/>
  <c r="M33" i="124"/>
  <c r="I181" i="123"/>
  <c r="L115" i="123"/>
  <c r="N115" i="123" s="1"/>
  <c r="L114" i="123"/>
  <c r="K114" i="123"/>
  <c r="L95" i="123"/>
  <c r="N95" i="123" s="1"/>
  <c r="J147" i="123"/>
  <c r="L147" i="123" s="1"/>
  <c r="J146" i="123"/>
  <c r="N114" i="123" l="1"/>
  <c r="I170" i="123"/>
  <c r="K147" i="123"/>
  <c r="N147" i="123" s="1"/>
  <c r="K148" i="123"/>
  <c r="L148" i="123"/>
  <c r="K146" i="123"/>
  <c r="L146" i="123"/>
  <c r="N148" i="123" l="1"/>
  <c r="N146" i="123"/>
  <c r="I185" i="123" l="1"/>
  <c r="M181" i="123"/>
  <c r="M120" i="123"/>
  <c r="K117" i="123"/>
  <c r="L117" i="123"/>
  <c r="L61" i="123"/>
  <c r="N61" i="123" s="1"/>
  <c r="L59" i="123"/>
  <c r="N59" i="123" s="1"/>
  <c r="L58" i="123"/>
  <c r="K58" i="123"/>
  <c r="L56" i="123"/>
  <c r="K56" i="123"/>
  <c r="L55" i="123"/>
  <c r="K55" i="123"/>
  <c r="L52" i="123"/>
  <c r="K52" i="123"/>
  <c r="L51" i="123"/>
  <c r="K51" i="123"/>
  <c r="J88" i="120"/>
  <c r="I88" i="120"/>
  <c r="J125" i="120"/>
  <c r="M125" i="120"/>
  <c r="I125" i="120"/>
  <c r="M88" i="120"/>
  <c r="I129" i="120"/>
  <c r="J145" i="123"/>
  <c r="J144" i="123"/>
  <c r="J141" i="123"/>
  <c r="J140" i="123"/>
  <c r="J138" i="123"/>
  <c r="L138" i="123" s="1"/>
  <c r="J137" i="123"/>
  <c r="L137" i="123" s="1"/>
  <c r="J136" i="123"/>
  <c r="L154" i="123"/>
  <c r="N154" i="123" s="1"/>
  <c r="L39" i="124"/>
  <c r="K39" i="124"/>
  <c r="L38" i="124"/>
  <c r="K38" i="124"/>
  <c r="L87" i="120"/>
  <c r="K87" i="120"/>
  <c r="L79" i="120"/>
  <c r="K79" i="120"/>
  <c r="K81" i="120"/>
  <c r="L81" i="120"/>
  <c r="K82" i="120"/>
  <c r="L82" i="120"/>
  <c r="K83" i="120"/>
  <c r="L83" i="120"/>
  <c r="K85" i="120"/>
  <c r="L85" i="120"/>
  <c r="L61" i="120"/>
  <c r="K61" i="120"/>
  <c r="L20" i="123"/>
  <c r="K20" i="123"/>
  <c r="D39" i="120"/>
  <c r="N87" i="120" l="1"/>
  <c r="N83" i="120"/>
  <c r="N81" i="120"/>
  <c r="N117" i="123"/>
  <c r="N58" i="123"/>
  <c r="N52" i="123"/>
  <c r="N56" i="123"/>
  <c r="N55" i="123"/>
  <c r="N51" i="123"/>
  <c r="N79" i="120"/>
  <c r="K145" i="123"/>
  <c r="L145" i="123"/>
  <c r="K144" i="123"/>
  <c r="L144" i="123"/>
  <c r="K141" i="123"/>
  <c r="L141" i="123"/>
  <c r="K140" i="123"/>
  <c r="L140" i="123"/>
  <c r="K138" i="123"/>
  <c r="N138" i="123" s="1"/>
  <c r="K137" i="123"/>
  <c r="N137" i="123" s="1"/>
  <c r="K136" i="123"/>
  <c r="L136" i="123"/>
  <c r="M38" i="124"/>
  <c r="M39" i="124"/>
  <c r="N85" i="120"/>
  <c r="N82" i="120"/>
  <c r="N61" i="120"/>
  <c r="N20" i="123"/>
  <c r="N136" i="123" l="1"/>
  <c r="N140" i="123"/>
  <c r="N144" i="123"/>
  <c r="N141" i="123"/>
  <c r="N145" i="123"/>
  <c r="J13" i="124" l="1"/>
  <c r="L13" i="124" s="1"/>
  <c r="J12" i="124"/>
  <c r="J139" i="123"/>
  <c r="L142" i="123"/>
  <c r="K142" i="123"/>
  <c r="L70" i="123"/>
  <c r="K70" i="123"/>
  <c r="L69" i="123"/>
  <c r="K69" i="123"/>
  <c r="L78" i="123"/>
  <c r="K78" i="123"/>
  <c r="L75" i="123"/>
  <c r="K75" i="123"/>
  <c r="L65" i="123"/>
  <c r="K65" i="123"/>
  <c r="L76" i="123"/>
  <c r="K76" i="123"/>
  <c r="L64" i="123"/>
  <c r="K64" i="123"/>
  <c r="L67" i="123"/>
  <c r="K67" i="123"/>
  <c r="L73" i="120"/>
  <c r="K73" i="120"/>
  <c r="K111" i="123"/>
  <c r="K110" i="123"/>
  <c r="L74" i="123"/>
  <c r="K74" i="123"/>
  <c r="L63" i="123"/>
  <c r="K63" i="123"/>
  <c r="K102" i="120"/>
  <c r="K100" i="120"/>
  <c r="L166" i="123"/>
  <c r="K166" i="123"/>
  <c r="L163" i="123"/>
  <c r="K163" i="123"/>
  <c r="L164" i="123"/>
  <c r="N164" i="123" s="1"/>
  <c r="K139" i="123" l="1"/>
  <c r="N65" i="123"/>
  <c r="N67" i="123"/>
  <c r="N75" i="123"/>
  <c r="N69" i="123"/>
  <c r="N142" i="123"/>
  <c r="N110" i="123"/>
  <c r="N74" i="123"/>
  <c r="N64" i="123"/>
  <c r="N111" i="123"/>
  <c r="N70" i="123"/>
  <c r="L139" i="123"/>
  <c r="N166" i="123"/>
  <c r="N76" i="123"/>
  <c r="K13" i="124"/>
  <c r="M13" i="124" s="1"/>
  <c r="K12" i="124"/>
  <c r="L12" i="124"/>
  <c r="N78" i="123"/>
  <c r="N73" i="120"/>
  <c r="N63" i="123"/>
  <c r="N163" i="123"/>
  <c r="L32" i="120"/>
  <c r="P32" i="120" s="1"/>
  <c r="K32" i="120"/>
  <c r="L61" i="124"/>
  <c r="M61" i="124" s="1"/>
  <c r="L62" i="124"/>
  <c r="M62" i="124" s="1"/>
  <c r="K61" i="124"/>
  <c r="K62" i="124"/>
  <c r="J68" i="124"/>
  <c r="J67" i="124"/>
  <c r="L67" i="124" s="1"/>
  <c r="M67" i="124" s="1"/>
  <c r="L97" i="123"/>
  <c r="K97" i="123"/>
  <c r="L93" i="123"/>
  <c r="K93" i="123"/>
  <c r="L12" i="123"/>
  <c r="L161" i="123"/>
  <c r="N161" i="123" s="1"/>
  <c r="L150" i="123"/>
  <c r="K150" i="123"/>
  <c r="L23" i="120"/>
  <c r="K23" i="120"/>
  <c r="L55" i="120"/>
  <c r="K55" i="120"/>
  <c r="K36" i="123"/>
  <c r="L36" i="123"/>
  <c r="L169" i="123"/>
  <c r="L168" i="123"/>
  <c r="K168" i="123"/>
  <c r="L159" i="123"/>
  <c r="N159" i="123" s="1"/>
  <c r="L34" i="120"/>
  <c r="P34" i="120" s="1"/>
  <c r="K34" i="120"/>
  <c r="L106" i="123"/>
  <c r="K106" i="123"/>
  <c r="L157" i="123"/>
  <c r="K157" i="123"/>
  <c r="L99" i="123"/>
  <c r="K99" i="123"/>
  <c r="K58" i="120"/>
  <c r="L58" i="120"/>
  <c r="L29" i="123"/>
  <c r="N29" i="123" s="1"/>
  <c r="L24" i="123"/>
  <c r="K24" i="123"/>
  <c r="L23" i="123"/>
  <c r="K23" i="123"/>
  <c r="L22" i="123"/>
  <c r="K22" i="123"/>
  <c r="L17" i="123"/>
  <c r="N17" i="123" s="1"/>
  <c r="L18" i="123"/>
  <c r="N18" i="123" s="1"/>
  <c r="L17" i="120"/>
  <c r="P17" i="120" s="1"/>
  <c r="K17" i="120"/>
  <c r="N17" i="120" l="1"/>
  <c r="N34" i="120"/>
  <c r="N32" i="120"/>
  <c r="N23" i="120"/>
  <c r="P23" i="120"/>
  <c r="N139" i="123"/>
  <c r="N169" i="123"/>
  <c r="N12" i="123"/>
  <c r="N97" i="123"/>
  <c r="M12" i="124"/>
  <c r="N150" i="123"/>
  <c r="N93" i="123"/>
  <c r="K68" i="124"/>
  <c r="L68" i="124"/>
  <c r="M68" i="124" s="1"/>
  <c r="K67" i="124"/>
  <c r="N55" i="120"/>
  <c r="N36" i="123"/>
  <c r="N168" i="123"/>
  <c r="N106" i="123"/>
  <c r="N99" i="123"/>
  <c r="N157" i="123"/>
  <c r="N58" i="120"/>
  <c r="N24" i="123"/>
  <c r="N23" i="123"/>
  <c r="N22" i="123"/>
  <c r="D53" i="124" l="1"/>
  <c r="M61" i="120" l="1"/>
  <c r="J111" i="120"/>
  <c r="M111" i="120"/>
  <c r="I111" i="120"/>
  <c r="J113" i="120" l="1"/>
  <c r="I113" i="120"/>
  <c r="K24" i="120"/>
  <c r="N24" i="120" s="1"/>
  <c r="D5" i="123" l="1"/>
  <c r="H16" i="126" l="1"/>
  <c r="L16" i="126" s="1"/>
  <c r="L13" i="120" l="1"/>
  <c r="P13" i="120" s="1"/>
  <c r="L14" i="120"/>
  <c r="P14" i="120" s="1"/>
  <c r="K18" i="124" l="1"/>
  <c r="L18" i="124"/>
  <c r="K19" i="124"/>
  <c r="L19" i="124"/>
  <c r="K20" i="124"/>
  <c r="L20" i="124"/>
  <c r="K21" i="124"/>
  <c r="L21" i="124"/>
  <c r="M21" i="124" l="1"/>
  <c r="M18" i="124"/>
  <c r="M20" i="124"/>
  <c r="M19" i="124"/>
  <c r="L153" i="123"/>
  <c r="N153" i="123" s="1"/>
  <c r="L15" i="124" l="1"/>
  <c r="M15" i="124" s="1"/>
  <c r="J19" i="125" l="1"/>
  <c r="L102" i="120" l="1"/>
  <c r="K48" i="120" l="1"/>
  <c r="N48" i="120" l="1"/>
  <c r="H21" i="126" l="1"/>
  <c r="L21" i="126" s="1"/>
  <c r="M21" i="126" s="1"/>
  <c r="J21" i="126" l="1"/>
  <c r="L134" i="123" l="1"/>
  <c r="K134" i="123"/>
  <c r="L120" i="123"/>
  <c r="K120" i="123"/>
  <c r="K66" i="123"/>
  <c r="L66" i="123"/>
  <c r="K72" i="123"/>
  <c r="L72" i="123"/>
  <c r="K73" i="123"/>
  <c r="L73" i="123"/>
  <c r="K77" i="123"/>
  <c r="L77" i="123"/>
  <c r="L38" i="123"/>
  <c r="K38" i="123"/>
  <c r="L33" i="123"/>
  <c r="K33" i="123"/>
  <c r="L27" i="123"/>
  <c r="K27" i="123"/>
  <c r="L16" i="123"/>
  <c r="K16" i="123"/>
  <c r="K14" i="123"/>
  <c r="L14" i="123"/>
  <c r="L151" i="123"/>
  <c r="K151" i="123"/>
  <c r="L107" i="120"/>
  <c r="L106" i="120"/>
  <c r="L99" i="120"/>
  <c r="L100" i="120"/>
  <c r="L101" i="120"/>
  <c r="L103" i="120"/>
  <c r="L104" i="120"/>
  <c r="L80" i="120"/>
  <c r="L88" i="120" s="1"/>
  <c r="L77" i="120"/>
  <c r="L76" i="120"/>
  <c r="L75" i="120"/>
  <c r="L74" i="120"/>
  <c r="L72" i="120"/>
  <c r="L59" i="120"/>
  <c r="L56" i="120"/>
  <c r="L53" i="120"/>
  <c r="L52" i="120"/>
  <c r="L51" i="120"/>
  <c r="L50" i="120"/>
  <c r="L31" i="120"/>
  <c r="P31" i="120" s="1"/>
  <c r="L30" i="120"/>
  <c r="P30" i="120" s="1"/>
  <c r="L26" i="120"/>
  <c r="P26" i="120" s="1"/>
  <c r="L21" i="120"/>
  <c r="L20" i="120"/>
  <c r="P20" i="120" s="1"/>
  <c r="L19" i="120"/>
  <c r="P19" i="120" s="1"/>
  <c r="L12" i="120"/>
  <c r="K103" i="120"/>
  <c r="K104" i="120"/>
  <c r="K101" i="120"/>
  <c r="K99" i="120"/>
  <c r="K98" i="120"/>
  <c r="K74" i="120"/>
  <c r="K75" i="120"/>
  <c r="K76" i="120"/>
  <c r="K77" i="120"/>
  <c r="K31" i="120"/>
  <c r="N31" i="120" s="1"/>
  <c r="P21" i="120" l="1"/>
  <c r="L35" i="120"/>
  <c r="L110" i="120"/>
  <c r="L62" i="120"/>
  <c r="P12" i="120"/>
  <c r="P35" i="120" s="1"/>
  <c r="N27" i="123"/>
  <c r="N151" i="123"/>
  <c r="N77" i="123"/>
  <c r="N73" i="123"/>
  <c r="N66" i="123"/>
  <c r="N33" i="123"/>
  <c r="N72" i="123"/>
  <c r="L14" i="124"/>
  <c r="N134" i="120" l="1"/>
  <c r="L132" i="120"/>
  <c r="N120" i="123"/>
  <c r="J17" i="125"/>
  <c r="J16" i="125"/>
  <c r="J15" i="125"/>
  <c r="J14" i="125"/>
  <c r="L64" i="124" l="1"/>
  <c r="K64" i="124"/>
  <c r="L63" i="124"/>
  <c r="K63" i="124"/>
  <c r="K17" i="124"/>
  <c r="L17" i="124"/>
  <c r="K14" i="124"/>
  <c r="M14" i="124" s="1"/>
  <c r="M17" i="124" l="1"/>
  <c r="K106" i="120"/>
  <c r="L98" i="120"/>
  <c r="K80" i="120"/>
  <c r="K88" i="120" s="1"/>
  <c r="K72" i="120"/>
  <c r="K56" i="120"/>
  <c r="K53" i="120"/>
  <c r="K52" i="120"/>
  <c r="K51" i="120"/>
  <c r="K50" i="120"/>
  <c r="K30" i="120"/>
  <c r="N30" i="120" s="1"/>
  <c r="K26" i="120"/>
  <c r="N26" i="120" s="1"/>
  <c r="K21" i="120"/>
  <c r="K20" i="120"/>
  <c r="N20" i="120" s="1"/>
  <c r="K19" i="120"/>
  <c r="N19" i="120" s="1"/>
  <c r="K14" i="120"/>
  <c r="N14" i="120" s="1"/>
  <c r="K12" i="120"/>
  <c r="K107" i="120"/>
  <c r="K59" i="120"/>
  <c r="C12" i="130"/>
  <c r="N21" i="120" l="1"/>
  <c r="K35" i="120"/>
  <c r="K110" i="120"/>
  <c r="N12" i="120"/>
  <c r="K125" i="120"/>
  <c r="K62" i="120"/>
  <c r="L111" i="120"/>
  <c r="K111" i="120"/>
  <c r="C15" i="130"/>
  <c r="N35" i="120" l="1"/>
  <c r="N110" i="120"/>
  <c r="N142" i="120"/>
  <c r="K135" i="120"/>
  <c r="K113" i="120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1" i="124" l="1"/>
  <c r="J47" i="124" s="1"/>
  <c r="Q19" i="124"/>
  <c r="J12" i="125"/>
  <c r="J21" i="125" s="1"/>
  <c r="J13" i="125"/>
  <c r="H21" i="125"/>
  <c r="I21" i="125"/>
  <c r="R11" i="124"/>
  <c r="J16" i="124"/>
  <c r="R16" i="124"/>
  <c r="R18" i="124"/>
  <c r="R61" i="124"/>
  <c r="M63" i="124"/>
  <c r="M64" i="124"/>
  <c r="R64" i="124"/>
  <c r="J65" i="124"/>
  <c r="R65" i="124"/>
  <c r="J66" i="124"/>
  <c r="R66" i="124"/>
  <c r="I70" i="124"/>
  <c r="J13" i="123"/>
  <c r="J41" i="123" s="1"/>
  <c r="N14" i="123"/>
  <c r="N16" i="123"/>
  <c r="N32" i="123"/>
  <c r="J68" i="123"/>
  <c r="J80" i="123"/>
  <c r="J143" i="123"/>
  <c r="M170" i="123"/>
  <c r="I172" i="123"/>
  <c r="N50" i="120"/>
  <c r="N51" i="120"/>
  <c r="N52" i="120"/>
  <c r="N53" i="120"/>
  <c r="N56" i="120"/>
  <c r="N59" i="120"/>
  <c r="N72" i="120"/>
  <c r="N74" i="120"/>
  <c r="N75" i="120"/>
  <c r="N76" i="120"/>
  <c r="N77" i="120"/>
  <c r="N80" i="120"/>
  <c r="N88" i="120" s="1"/>
  <c r="N98" i="120"/>
  <c r="N99" i="120"/>
  <c r="N100" i="120"/>
  <c r="N101" i="120"/>
  <c r="N102" i="120"/>
  <c r="N103" i="120"/>
  <c r="N104" i="120"/>
  <c r="N106" i="120"/>
  <c r="N107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0" i="126"/>
  <c r="G23" i="126"/>
  <c r="I23" i="126"/>
  <c r="K23" i="126"/>
  <c r="J40" i="124" l="1"/>
  <c r="N62" i="120"/>
  <c r="N124" i="120"/>
  <c r="N125" i="120"/>
  <c r="O124" i="120"/>
  <c r="N112" i="120"/>
  <c r="N129" i="120"/>
  <c r="J181" i="123"/>
  <c r="K13" i="123"/>
  <c r="K41" i="123" s="1"/>
  <c r="N111" i="120"/>
  <c r="K143" i="123"/>
  <c r="L143" i="123"/>
  <c r="L181" i="123" s="1"/>
  <c r="K68" i="123"/>
  <c r="L68" i="123"/>
  <c r="L80" i="123"/>
  <c r="K80" i="123"/>
  <c r="L11" i="124"/>
  <c r="M16" i="126"/>
  <c r="M19" i="126"/>
  <c r="M17" i="126"/>
  <c r="J17" i="126"/>
  <c r="J18" i="126"/>
  <c r="M18" i="126"/>
  <c r="J14" i="126"/>
  <c r="M14" i="126"/>
  <c r="H23" i="126"/>
  <c r="J15" i="126"/>
  <c r="M15" i="126"/>
  <c r="M13" i="126"/>
  <c r="J13" i="126"/>
  <c r="J12" i="126"/>
  <c r="M12" i="126" s="1"/>
  <c r="Q21" i="124"/>
  <c r="J70" i="124"/>
  <c r="R40" i="124"/>
  <c r="D86" i="123"/>
  <c r="K11" i="124"/>
  <c r="L66" i="124"/>
  <c r="M66" i="124" s="1"/>
  <c r="K66" i="124"/>
  <c r="L65" i="124"/>
  <c r="K65" i="124"/>
  <c r="K16" i="124"/>
  <c r="L16" i="124"/>
  <c r="L13" i="123"/>
  <c r="L41" i="123" s="1"/>
  <c r="I173" i="123"/>
  <c r="J172" i="123"/>
  <c r="D65" i="120"/>
  <c r="L47" i="124" l="1"/>
  <c r="K47" i="124"/>
  <c r="L40" i="124"/>
  <c r="J170" i="123"/>
  <c r="K40" i="124"/>
  <c r="L170" i="123"/>
  <c r="K181" i="123"/>
  <c r="N80" i="123"/>
  <c r="N113" i="120"/>
  <c r="N68" i="123"/>
  <c r="O131" i="120"/>
  <c r="M16" i="124"/>
  <c r="M11" i="124"/>
  <c r="M47" i="124" s="1"/>
  <c r="N143" i="123"/>
  <c r="J23" i="126"/>
  <c r="L23" i="126"/>
  <c r="K70" i="124"/>
  <c r="M20" i="126"/>
  <c r="M23" i="126" s="1"/>
  <c r="D44" i="123"/>
  <c r="D127" i="123"/>
  <c r="N38" i="123"/>
  <c r="L70" i="124"/>
  <c r="M65" i="124"/>
  <c r="M70" i="124" s="1"/>
  <c r="N13" i="123"/>
  <c r="K172" i="123"/>
  <c r="L172" i="123"/>
  <c r="N134" i="123"/>
  <c r="J173" i="123"/>
  <c r="M40" i="124" l="1"/>
  <c r="N41" i="123"/>
  <c r="N183" i="123"/>
  <c r="K170" i="123"/>
  <c r="M82" i="124"/>
  <c r="N181" i="123"/>
  <c r="P44" i="123"/>
  <c r="N180" i="123"/>
  <c r="O41" i="123"/>
  <c r="S11" i="124"/>
  <c r="N172" i="123"/>
  <c r="L173" i="123"/>
  <c r="L174" i="123"/>
  <c r="K174" i="123"/>
  <c r="K173" i="123"/>
  <c r="N170" i="123" l="1"/>
  <c r="N192" i="123"/>
  <c r="N188" i="123"/>
  <c r="P45" i="123"/>
  <c r="L113" i="120"/>
</calcChain>
</file>

<file path=xl/sharedStrings.xml><?xml version="1.0" encoding="utf-8"?>
<sst xmlns="http://schemas.openxmlformats.org/spreadsheetml/2006/main" count="1011" uniqueCount="478">
  <si>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</si>
  <si>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</si>
  <si>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</si>
  <si>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</si>
  <si>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</si>
  <si>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</si>
  <si>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</si>
  <si>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</si>
  <si>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</si>
  <si>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</si>
  <si>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</si>
  <si>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</si>
  <si>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</si>
  <si>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</si>
  <si>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</si>
  <si>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</si>
  <si>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</si>
  <si>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</si>
  <si>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</si>
  <si>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</si>
  <si>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</si>
  <si>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</si>
  <si>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</si>
  <si>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</si>
  <si>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</si>
  <si>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</si>
  <si>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</si>
  <si>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</si>
  <si>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</si>
  <si>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</si>
  <si>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</si>
  <si>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</si>
  <si>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</si>
  <si>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</si>
  <si>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</si>
  <si>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</si>
  <si>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</si>
  <si>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</si>
  <si>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</si>
  <si>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</si>
  <si>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</si>
  <si>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</si>
  <si>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</si>
  <si>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</si>
  <si>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</si>
  <si>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</si>
  <si>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</si>
  <si>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</si>
  <si>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</si>
  <si>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</si>
  <si>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</si>
  <si>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</si>
  <si>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</si>
  <si>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</si>
  <si>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</si>
  <si>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</si>
  <si>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SEGURIDAD PUBLICA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</si>
  <si>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</si>
  <si>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</si>
  <si>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</si>
  <si>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</si>
  <si>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</si>
  <si>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</si>
  <si>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</si>
  <si>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</si>
  <si>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</si>
  <si>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</si>
  <si>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</si>
  <si>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</si>
  <si>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</si>
  <si>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MONTES GAMBOA CECILIO</t>
  </si>
  <si>
    <t>VALLE BARRIENTOS HERIBERTO</t>
  </si>
  <si>
    <t>MORALES QUINTANAR JOSE LUIS</t>
  </si>
  <si>
    <t>HERNANDEZ GARCIA AGUSTIN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</si>
  <si>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</si>
  <si>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</si>
  <si>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</si>
  <si>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</si>
  <si>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</si>
  <si>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</si>
  <si>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MERCADO OLVERA JOSE ANTONIO</t>
  </si>
  <si>
    <t>SALA DE REGIDORES</t>
  </si>
  <si>
    <t>UNIDAD DE TRANSPARENCIA</t>
  </si>
  <si>
    <t>GOMEZ MEZA ANA NALLELI</t>
  </si>
  <si>
    <t>GARCIA CABRERA JOSE FABIAN</t>
  </si>
  <si>
    <t>RAMOS VELADOR LAZARO</t>
  </si>
  <si>
    <t>RAMIREZ MARTINEZ JOSE CARMEN</t>
  </si>
  <si>
    <t>COVARRUBIAS RIVERA ROMAN</t>
  </si>
  <si>
    <t>MERCADO PEREZ LUIS HUMBERTO</t>
  </si>
  <si>
    <t>GUERRERO GARICA RAFAEL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</si>
  <si>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</si>
  <si>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</si>
  <si>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</si>
  <si>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</si>
  <si>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</si>
  <si>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</si>
  <si>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</si>
  <si>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</si>
  <si>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</si>
  <si>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</si>
  <si>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</si>
  <si>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OSCAR MARTIN ZUÑIGA GARCIA</t>
  </si>
  <si>
    <t>ARTURO JONATHAN RAMIREZ DE LA ROSA</t>
  </si>
  <si>
    <t>PARAMEDICO P C</t>
  </si>
  <si>
    <t>HERNANDEZ BERNAL JUDITH TONANZI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</si>
  <si>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</si>
  <si>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</si>
  <si>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</si>
  <si>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</si>
  <si>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</si>
  <si>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</si>
  <si>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</si>
  <si>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AUXILIAR ADMINISTRATIVO</t>
  </si>
  <si>
    <t>RAMOS PEREZ HIPOLITO MARTIN</t>
  </si>
  <si>
    <t>RUVALCABA GARCIA HUMBERTO</t>
  </si>
  <si>
    <t xml:space="preserve">SECRETARIA GENERAL </t>
  </si>
  <si>
    <t>CONTRALOR</t>
  </si>
  <si>
    <t>MONTES PEREZ JULIA VERONICA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</si>
  <si>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</si>
  <si>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</si>
  <si>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</si>
  <si>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</si>
  <si>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</si>
  <si>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</si>
  <si>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</si>
  <si>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</si>
  <si>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</si>
  <si>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</si>
  <si>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</si>
  <si>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</si>
  <si>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</si>
  <si>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</si>
  <si>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</si>
  <si>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</si>
  <si>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</si>
  <si>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</si>
  <si>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</si>
  <si>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</si>
  <si>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</si>
  <si>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</si>
  <si>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</si>
  <si>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</si>
  <si>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</si>
  <si>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</si>
  <si>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</si>
  <si>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</si>
  <si>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</si>
  <si>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</si>
  <si>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</si>
  <si>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ANDREA DANIELA LOPEZ RODRIGUEZ</t>
  </si>
  <si>
    <t>COMUNICACIÓN SOCIAL</t>
  </si>
  <si>
    <t>CATARINO VAZQUEZ JIMENEZ</t>
  </si>
  <si>
    <t>COMANDANTE OPERATIVO</t>
  </si>
  <si>
    <t>ENC. DE CATASTRO E IMPUESTO PREDIAL</t>
  </si>
  <si>
    <t>DESARROLLO RURAL Y ECONOMICO</t>
  </si>
  <si>
    <t>DIR. DE DESARROLLO RURAL Y ECONOMICO</t>
  </si>
  <si>
    <t>AUX. EN TRANSPARENCIA</t>
  </si>
  <si>
    <t>OFICIALIA MAYOR ADMINISTRATIVA</t>
  </si>
  <si>
    <t>DEPARTAMENTO DE SERVICIOS PUBLICOS</t>
  </si>
  <si>
    <t>DIR. JURIDICO</t>
  </si>
  <si>
    <t>CONTRALORIA</t>
  </si>
  <si>
    <t>AUX DE OBRAS PUBLICAS</t>
  </si>
  <si>
    <t>ANA BERTHA RODRIGUEZ GONZALEZ</t>
  </si>
  <si>
    <t>DIAS TRAB</t>
  </si>
  <si>
    <t>AUX. DE REGISTRO CIVIL</t>
  </si>
  <si>
    <t>FLORES LIERA ALFREDO</t>
  </si>
  <si>
    <t>GUTIERREZ SAHAVEDRA J. SANTOS</t>
  </si>
  <si>
    <t>ARCHIVO MUNICIPAL</t>
  </si>
  <si>
    <t>ENC. DE ARCHIVO MPAL</t>
  </si>
  <si>
    <t>DEPARTAMENTO DE DEPORTE</t>
  </si>
  <si>
    <t>PROMOTOR DEL DEPORTE</t>
  </si>
  <si>
    <t>SERVICIOS PUBLICOS MUNICIPALES</t>
  </si>
  <si>
    <t>COVARRUBIAS RANGEL JOSE MARIA</t>
  </si>
  <si>
    <t>PROTECCION CIVIL</t>
  </si>
  <si>
    <t>OFICIALIA MAYOR DE PADRON Y LICENCIAS</t>
  </si>
  <si>
    <t>OFICIAL MAYOR DE PADRON Y LICENCIAS</t>
  </si>
  <si>
    <t>ENC. BOMBA</t>
  </si>
  <si>
    <t>MUNICIPIO  DE : SAN JUANITO DE ESCOBEDO JALISCO</t>
  </si>
  <si>
    <t>COVARRUBIAS RANGEL JAVIER ROMAN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</si>
  <si>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</si>
  <si>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</si>
  <si>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</si>
  <si>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</si>
  <si>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</si>
  <si>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</si>
  <si>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</si>
  <si>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</si>
  <si>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</si>
  <si>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</si>
  <si>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</si>
  <si>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</si>
  <si>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</si>
  <si>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</si>
  <si>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</si>
  <si>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</si>
  <si>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</si>
  <si>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</si>
  <si>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</si>
  <si>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</si>
  <si>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</si>
  <si>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</si>
  <si>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</si>
  <si>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</si>
  <si>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</si>
  <si>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</si>
  <si>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</si>
  <si>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</si>
  <si>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</si>
  <si>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</si>
  <si>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</si>
  <si>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0208</t>
  </si>
  <si>
    <t>0051</t>
  </si>
  <si>
    <t>9033</t>
  </si>
  <si>
    <t>9013</t>
  </si>
  <si>
    <t>01</t>
  </si>
  <si>
    <t>0157</t>
  </si>
  <si>
    <t>0065</t>
  </si>
  <si>
    <t>0070</t>
  </si>
  <si>
    <t>0025</t>
  </si>
  <si>
    <t>0043</t>
  </si>
  <si>
    <t>0058</t>
  </si>
  <si>
    <t>0047</t>
  </si>
  <si>
    <t>9026</t>
  </si>
  <si>
    <t>0048</t>
  </si>
  <si>
    <t>9025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</si>
  <si>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</si>
  <si>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</si>
  <si>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</si>
  <si>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</si>
  <si>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</si>
  <si>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</si>
  <si>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</si>
  <si>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</si>
  <si>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</si>
  <si>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</si>
  <si>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0026</t>
  </si>
  <si>
    <t>0054</t>
  </si>
  <si>
    <t>ID</t>
  </si>
  <si>
    <t>0170</t>
  </si>
  <si>
    <t>9100</t>
  </si>
  <si>
    <t>9015</t>
  </si>
  <si>
    <t>9016</t>
  </si>
  <si>
    <t>0087</t>
  </si>
  <si>
    <t>9050</t>
  </si>
  <si>
    <t>9061</t>
  </si>
  <si>
    <t>0166</t>
  </si>
  <si>
    <t>9010</t>
  </si>
  <si>
    <t>9005</t>
  </si>
  <si>
    <t>9031</t>
  </si>
  <si>
    <t>9018</t>
  </si>
  <si>
    <t>9071</t>
  </si>
  <si>
    <t>9022</t>
  </si>
  <si>
    <t>9052</t>
  </si>
  <si>
    <t>9103</t>
  </si>
  <si>
    <t>9131</t>
  </si>
  <si>
    <t>9105</t>
  </si>
  <si>
    <t>9126</t>
  </si>
  <si>
    <t>9046</t>
  </si>
  <si>
    <t>0029</t>
  </si>
  <si>
    <t>0183</t>
  </si>
  <si>
    <t>0232</t>
  </si>
  <si>
    <t>0241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</si>
  <si>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</si>
  <si>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</si>
  <si>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</si>
  <si>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</si>
  <si>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</si>
  <si>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</si>
  <si>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</si>
  <si>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</si>
  <si>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</si>
  <si>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</si>
  <si>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</si>
  <si>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FLORES CORONA ROBERTO CARLOS</t>
  </si>
  <si>
    <t>LOPEZ GARCIA IVAN</t>
  </si>
  <si>
    <t>ECA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</si>
  <si>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</si>
  <si>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</si>
  <si>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</si>
  <si>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</si>
  <si>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</si>
  <si>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</si>
  <si>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</si>
  <si>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</si>
  <si>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</si>
  <si>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</si>
  <si>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COLI020224MJCRPSA7</t>
  </si>
  <si>
    <t>OFICIAL MAYOR ADMINISTRATIVO</t>
  </si>
  <si>
    <t>SECRETARIA PARTICULAR</t>
  </si>
  <si>
    <t>ENC. DE BOMBA SAN PEDRO</t>
  </si>
  <si>
    <t>MUNICIPIO DE : SAN JUANITO DE ESCOBEDO, JALISCO</t>
  </si>
  <si>
    <t>SANTIAGO ROSAS MARTIN</t>
  </si>
  <si>
    <t>ENC. DE BOMBA Y FONTANERO SAN PEDRO</t>
  </si>
  <si>
    <t>ANGELA DE LA TRINIDAD RUIZ FLORES</t>
  </si>
  <si>
    <t>AUXILIAR</t>
  </si>
  <si>
    <t>NUVW940670MJCXRN06</t>
  </si>
  <si>
    <t>0142</t>
  </si>
  <si>
    <t>JEFA DE GABINETE</t>
  </si>
  <si>
    <t>ANGELICA RUVALCABA PLASCENCIA</t>
  </si>
  <si>
    <t>ABEL SANCHEZ SANTIAGO</t>
  </si>
  <si>
    <t>ANDREA ALEJANDRA MIRAMONTES RODRIGUEZ</t>
  </si>
  <si>
    <t>FILEMON SANCHEZ CORDERO</t>
  </si>
  <si>
    <t>MARIA GUADALUPE DURAN NUÑO</t>
  </si>
  <si>
    <t>TIARE NISHIKI MONTES IÑIGUEZ</t>
  </si>
  <si>
    <t>CRISPINA CONTRERAS MARTINEZ</t>
  </si>
  <si>
    <t>C. OCTAVIO GONZALEZ RUIZ</t>
  </si>
  <si>
    <t xml:space="preserve">L.A GUILLERMO YONATAN  VILLEGAS CASILLAS </t>
  </si>
  <si>
    <t>ENCARGADO DE HACIENDA PUBLICA MUNICIPAL</t>
  </si>
  <si>
    <t>OCTAVIO GONZALEZ RUIZ</t>
  </si>
  <si>
    <t>PRESIDENTE</t>
  </si>
  <si>
    <t>FERMIN HERNANDEZ RAMIREZ</t>
  </si>
  <si>
    <t>VERONICA LUCINA MONTES DAMIAN</t>
  </si>
  <si>
    <t>LIDIA ALEJANDRA GUTIEREZ PONCE</t>
  </si>
  <si>
    <t>JEFATURA DE GABINETE</t>
  </si>
  <si>
    <t>MARIA DE JESUS GONZALEZ MONTES</t>
  </si>
  <si>
    <t>JUAN DAVID VELADOR HERNANDEZ</t>
  </si>
  <si>
    <t>SILVESTRE CISNEROS GUZMAN</t>
  </si>
  <si>
    <t>RAUL VELADOR MARTINEZ</t>
  </si>
  <si>
    <t>MARIA DE LOURDES GONZALEZ RIVERA</t>
  </si>
  <si>
    <t>JOSE LUIS CARRILLO MONTES</t>
  </si>
  <si>
    <t>MARIA ORTIZ AVILA</t>
  </si>
  <si>
    <t>PAULINA MICHEL MARTINEZ AVALOS</t>
  </si>
  <si>
    <t xml:space="preserve">JUEZ MUNICIPAL </t>
  </si>
  <si>
    <t>VICTOR RODRIGUEZ CORONA</t>
  </si>
  <si>
    <t>BEATRIZ GUADALUPE FLORES SALDAÑA</t>
  </si>
  <si>
    <t>JABAL JAFET CARDONA GONZALEZ</t>
  </si>
  <si>
    <t>JOSE RAFAEL FLORES GOMEZ</t>
  </si>
  <si>
    <t>INSTANCIA DE LA MUJER</t>
  </si>
  <si>
    <t>AZUCENA MONTAÑO SILVA</t>
  </si>
  <si>
    <t>EDUCACION</t>
  </si>
  <si>
    <t>DANIA FABIOLA CELAYA GARCIA</t>
  </si>
  <si>
    <t>DIR. DE EDUCACION</t>
  </si>
  <si>
    <t>DESARROLLO SOCIAL</t>
  </si>
  <si>
    <t>RAYMUNDO AVILA MATA</t>
  </si>
  <si>
    <t>DIR. DESARROLLO SOCIAL</t>
  </si>
  <si>
    <t>CARMEN JULIANA HERNADEZ DIAZ</t>
  </si>
  <si>
    <t>TERESA DEL N. JESUS RITO DIAZ</t>
  </si>
  <si>
    <t>ISRAEL REYNOSO RUVALCABA</t>
  </si>
  <si>
    <t>TANIA SINAI SANDOVAL VELADOR</t>
  </si>
  <si>
    <t>A TODA MAQUINA</t>
  </si>
  <si>
    <t>HECTOR FLORES RODRIGUEZ</t>
  </si>
  <si>
    <t>IELTZY ANDREA SANCHEZ RAMIREZ</t>
  </si>
  <si>
    <t>DAVID ERNESTO VELADOR LUNA</t>
  </si>
  <si>
    <t>PROTECCION DE DATOS PERSANALES</t>
  </si>
  <si>
    <t>GERARDO LOPEZ GOMEZ</t>
  </si>
  <si>
    <t>DIR. COMUNICACIÓN SOCIAL</t>
  </si>
  <si>
    <t>ANTONIO GUADALUPE DOMINGUEZ PLASCENCIA</t>
  </si>
  <si>
    <t>PAULINO RAMIREZ MONTES</t>
  </si>
  <si>
    <t>MARIA ELENA PAREDES SANTOS</t>
  </si>
  <si>
    <t>CESAR ALEJANDRO HERNANDEZ BERNAL</t>
  </si>
  <si>
    <t>DIR. DE CATASTRO</t>
  </si>
  <si>
    <t>FELIPE DE JESUS FIGUEROA</t>
  </si>
  <si>
    <t>DIR. DE REGISTRO CIVIL</t>
  </si>
  <si>
    <t>GUILLERMO YONATAN VILLEGAS CASILLAS</t>
  </si>
  <si>
    <t>DIR. ECA</t>
  </si>
  <si>
    <t>ECOLOGIA Y MEDIO AMBIENTE</t>
  </si>
  <si>
    <t>ELI OSCAR RUIZ MONTES</t>
  </si>
  <si>
    <t>DIR. ECOLOGIA Y MEDIO AMBIENTE</t>
  </si>
  <si>
    <t>KIMBERLY ALEJANDRA HERNANDEZ RAMIREZ</t>
  </si>
  <si>
    <t>RECEPCIONISTA</t>
  </si>
  <si>
    <t>TERESA VILLARREAL SALAS</t>
  </si>
  <si>
    <t>SERVICIOS MEDICOS MUNICIPALES</t>
  </si>
  <si>
    <t>JULIA MONTES MACIAS</t>
  </si>
  <si>
    <t>DIRECTORA DE SERVICIOS MEDICOS MUNICIPALES</t>
  </si>
  <si>
    <t>OFELIA VARGAS GARCIA</t>
  </si>
  <si>
    <t>FRANCISCO GARCIA NAVARRO</t>
  </si>
  <si>
    <t>LUIS FERNANDO MADRID CARRILLO</t>
  </si>
  <si>
    <t>DIR. PROTECCION CIVIL Y BOMBEROS</t>
  </si>
  <si>
    <t>SUBDIRECTOR</t>
  </si>
  <si>
    <t>JOSE DE JESUS MEZA JUAREZ</t>
  </si>
  <si>
    <t>MARIA BEATRIZ GARCIA RAMIREZ</t>
  </si>
  <si>
    <t>CUAUHTEMOC DOMINGUEZ FARIAS</t>
  </si>
  <si>
    <t>DIRECCION DE TURISMO</t>
  </si>
  <si>
    <t>EDITH ROSARIO MARTINEZ AVALOS</t>
  </si>
  <si>
    <t>CRISTIAN OMAR RAMIREZ VELADOR</t>
  </si>
  <si>
    <t>DIR. DE TURISMO</t>
  </si>
  <si>
    <t>SISTEMAS</t>
  </si>
  <si>
    <t>CESAR ANDRES IBARRA FLORES</t>
  </si>
  <si>
    <t>XOCHITL YADIRA CASTAÑEDA ARANDAS</t>
  </si>
  <si>
    <t>FEDERICO RAMOS NOLASCO</t>
  </si>
  <si>
    <t>JUAN MEZA RAMIREZ</t>
  </si>
  <si>
    <t>JOSE AVILA CARBAJAL</t>
  </si>
  <si>
    <t>JOSE GUADALUPE SANTIAGO FLORES VELAZQUEZ</t>
  </si>
  <si>
    <t>DIR. DE SERVICIOS PUBLICOS</t>
  </si>
  <si>
    <t>JOSE LUIS RAMIREZ MEZA</t>
  </si>
  <si>
    <t>GREGORIO PONCE MONTES</t>
  </si>
  <si>
    <t>VELADOR DE MERCADO</t>
  </si>
  <si>
    <t>DAVID RUIZ RIVERA</t>
  </si>
  <si>
    <t>VICTORINO ORENDAIN RUIZ</t>
  </si>
  <si>
    <t>OPERADOR DE RETROEXCAVADORA</t>
  </si>
  <si>
    <t xml:space="preserve">RASTRO MUNICIPAL </t>
  </si>
  <si>
    <t>REYES IGNACIO TOLEDO GUTIERREZ</t>
  </si>
  <si>
    <t>GUARDA RASTRO</t>
  </si>
  <si>
    <t>ESTELA MATA MONTES</t>
  </si>
  <si>
    <t>0068</t>
  </si>
  <si>
    <t>COMISARIO</t>
  </si>
  <si>
    <t>SUBCOMISARIO OPERATIVO</t>
  </si>
  <si>
    <t>SUBCOMISARIO ADMINISTRATIVO</t>
  </si>
  <si>
    <t>ESTELA GONZALEZ GARCIA</t>
  </si>
  <si>
    <t>DIRECCION DE CULTURA</t>
  </si>
  <si>
    <t>DIRECCION DE  CULTURA</t>
  </si>
  <si>
    <t>CRONISTA MUNICIPAL</t>
  </si>
  <si>
    <t>DIRECCION JURIDICA</t>
  </si>
  <si>
    <t>DIR. DE INSTANCIA DE LA MUJER</t>
  </si>
  <si>
    <t>AUX. DE SERVICIOS MEDICOS</t>
  </si>
  <si>
    <t>MARCO ANTONIO MEZA MEZA</t>
  </si>
  <si>
    <t>JAIRO ILDEFONSO NAVARRO MONTES</t>
  </si>
  <si>
    <t>DIR. DE AGUA POTABLE</t>
  </si>
  <si>
    <t>ROGUEL CHAVEZ HERNANDEZ</t>
  </si>
  <si>
    <t xml:space="preserve">DESARROLLO SOCIAL </t>
  </si>
  <si>
    <t>PREVENCION SOCIAL</t>
  </si>
  <si>
    <t>ENC. DE PREVENCION SOCIAL</t>
  </si>
  <si>
    <t>ASEADOR PLAZA DE LA ESTANCITA</t>
  </si>
  <si>
    <t>ASEADOR PLAZA DE SAN PEDRO</t>
  </si>
  <si>
    <t>ASEADOR PLAZA DE EL TRAPICHE</t>
  </si>
  <si>
    <t>ASEADOR PLAZA DE PROVIDENCIA</t>
  </si>
  <si>
    <t>ASEADOR PLAZA DE ESTANCIA DE AYLLONES</t>
  </si>
  <si>
    <t>VERONICA FLORES VELAZQUEZ</t>
  </si>
  <si>
    <t>INTENDENTE ESCUELA ESTANCITA</t>
  </si>
  <si>
    <t>ASEADOR PLAZA DE SANTIAGUITO</t>
  </si>
  <si>
    <t>C OCTAVIO GONZALEZ RUIZ</t>
  </si>
  <si>
    <t>L.A GUILLERMO YONATAN VILLEGAS CASILLAS</t>
  </si>
  <si>
    <t>C.OCTAVIO GONZALEZ RUIZ</t>
  </si>
  <si>
    <t>C. OCTAVIO GONZALEZ  RUIZ</t>
  </si>
  <si>
    <t>L.A. GUILLERMO YONATAN VILLEGAS CASILLAS</t>
  </si>
  <si>
    <t>C. OCTAVIO GONZALEZ RODRIGUEZ</t>
  </si>
  <si>
    <t>L.A. GULLERMO YONATAN VILLEGAS CASILLAS</t>
  </si>
  <si>
    <t>ENCARGADO DE MAQUINARIA</t>
  </si>
  <si>
    <t>0134</t>
  </si>
  <si>
    <t>NORMA GUADALUPE CARRILLO DONATO</t>
  </si>
  <si>
    <t>RICARDO RIVERA CONCHO</t>
  </si>
  <si>
    <t xml:space="preserve">ENC. DE PARADERO </t>
  </si>
  <si>
    <t>GABRIELA SEGOVIA ESPINOZA</t>
  </si>
  <si>
    <t>HILARIO VILLEGAS VENTURA</t>
  </si>
  <si>
    <t>OSCAR GARCIA VENTURA</t>
  </si>
  <si>
    <t>FABIAN MEDINA GUERRERO</t>
  </si>
  <si>
    <t>9115</t>
  </si>
  <si>
    <t>LOPEZ SOLORZANO LUZ ELBA</t>
  </si>
  <si>
    <t>FRANCISCO HILARIO BERNAL VILLEGAS</t>
  </si>
  <si>
    <t>ROCIO ANGELICA NAVARRO AVILA</t>
  </si>
  <si>
    <t>VICTORIA  MONTSERRAT VALENCIA MONTES</t>
  </si>
  <si>
    <t>RAMONA PRIETO SAAVEDRA</t>
  </si>
  <si>
    <t>AUXILIAR  DE CULTURA</t>
  </si>
  <si>
    <t>JOSE RAMON LOPEZ GOMEZ</t>
  </si>
  <si>
    <t>OPERADOR DE PIPA</t>
  </si>
  <si>
    <t>CESAR RAFAEL VARGAS AVILA</t>
  </si>
  <si>
    <t>VELADOR PLANTA TRATADORA</t>
  </si>
  <si>
    <t>GILBERTO CARRILLO CORONA</t>
  </si>
  <si>
    <t>FERNANDA LIVIER MONTES GONZALEZ</t>
  </si>
  <si>
    <t>9132</t>
  </si>
  <si>
    <t>03</t>
  </si>
  <si>
    <t>VANESSA ALEJANDRA AVILA RUIZ</t>
  </si>
  <si>
    <t>JOSE CAMPOS GONZALEZ</t>
  </si>
  <si>
    <t>OPERADOR DE MOTOCONFORMADORA</t>
  </si>
  <si>
    <t>MUNICIPIO DE : SAN JUANITO DE ESCOBEDO JALISCO+D52:N75</t>
  </si>
  <si>
    <t>SECRETARIA DE JEFA DE GABINETE</t>
  </si>
  <si>
    <t>TITULAR DE UNIDAD DE TRANSPARENCIA</t>
  </si>
  <si>
    <t>TITULAR DE PROTECCION DE DATOS</t>
  </si>
  <si>
    <t>ROSA ISELA ALCARAZ PRECIADO</t>
  </si>
  <si>
    <t>MARIA JOSEFINA RUIZ RUBIO</t>
  </si>
  <si>
    <t>NOMINA DE DIETAS 2DA QUINCENA DE DICIEMBRE DE 2021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</si>
  <si>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</si>
  <si>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</si>
  <si>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</si>
  <si>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</si>
  <si>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</si>
  <si>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</si>
  <si>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</si>
  <si>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</si>
  <si>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</si>
  <si>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</si>
  <si>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0196</t>
  </si>
  <si>
    <t>0211</t>
  </si>
  <si>
    <t>0269</t>
  </si>
  <si>
    <t>NOMINA 2DA QUINCENA DE DICIEMBRE DE 2021</t>
  </si>
  <si>
    <t>THELMA YADIRA RAMOS SILVA</t>
  </si>
  <si>
    <t>SUELDOS 2DA QUINCENA DE DICIEMBRE DE 2021</t>
  </si>
  <si>
    <t>NOMINA 2DA QUINCENA DE DICIEMBRE DE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</si>
</sst>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b/>
      <sz val="12"/>
      <color theme="9" tint="-0.249977111117893"/>
      <name val="Verdana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  <font>
      <b/>
      <sz val="14"/>
      <name val="Arial Black"/>
      <family val="2"/>
    </font>
    <font>
      <b/>
      <sz val="12"/>
      <name val="Arial Black"/>
      <family val="2"/>
    </font>
    <font>
      <b/>
      <sz val="16"/>
      <name val="Verdana"/>
      <family val="2"/>
    </font>
    <font>
      <b/>
      <sz val="17"/>
      <name val="Verdana"/>
      <family val="2"/>
    </font>
    <font>
      <b/>
      <sz val="16"/>
      <name val="Arial Black"/>
      <family val="2"/>
    </font>
    <font>
      <b/>
      <sz val="20"/>
      <name val="Verdana"/>
      <family val="2"/>
    </font>
    <font>
      <b/>
      <sz val="20"/>
      <name val="Arial"/>
      <family val="2"/>
    </font>
    <font>
      <sz val="20"/>
      <name val="Arial"/>
      <family val="2"/>
    </font>
    <font>
      <b/>
      <sz val="22"/>
      <name val="Verdana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6" fillId="0" borderId="0"/>
    <xf numFmtId="164" fontId="1" fillId="0" borderId="0" applyFont="0" applyFill="0" applyBorder="0" applyAlignment="0" applyProtection="0"/>
  </cellStyleXfs>
  <cellXfs count="605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3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ill="1" applyBorder="1" applyProtection="1"/>
    <xf numFmtId="0" fontId="1" fillId="3" borderId="9" xfId="0" applyFont="1" applyFill="1" applyBorder="1" applyAlignment="1" applyProtection="1">
      <alignment horizontal="left"/>
      <protection locked="0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3" borderId="0" xfId="0" applyFont="1" applyFill="1" applyBorder="1" applyAlignment="1" applyProtection="1">
      <alignment horizontal="left"/>
      <protection locked="0"/>
    </xf>
    <xf numFmtId="43" fontId="1" fillId="3" borderId="0" xfId="2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168" fontId="6" fillId="4" borderId="1" xfId="2" applyNumberFormat="1" applyFont="1" applyFill="1" applyBorder="1" applyAlignment="1" applyProtection="1">
      <alignment horizontal="right"/>
      <protection hidden="1"/>
    </xf>
    <xf numFmtId="0" fontId="23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5" fillId="0" borderId="2" xfId="2" applyNumberFormat="1" applyFont="1" applyFill="1" applyBorder="1" applyAlignment="1" applyProtection="1">
      <alignment horizontal="right"/>
      <protection hidden="1"/>
    </xf>
    <xf numFmtId="168" fontId="15" fillId="0" borderId="24" xfId="2" applyNumberFormat="1" applyFont="1" applyFill="1" applyBorder="1" applyAlignment="1" applyProtection="1">
      <alignment horizontal="right"/>
      <protection hidden="1"/>
    </xf>
    <xf numFmtId="0" fontId="15" fillId="0" borderId="0" xfId="0" applyFont="1" applyBorder="1" applyAlignment="1" applyProtection="1">
      <alignment horizontal="left"/>
      <protection locked="0"/>
    </xf>
    <xf numFmtId="0" fontId="16" fillId="0" borderId="6" xfId="0" applyFont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5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center"/>
      <protection locked="0"/>
    </xf>
    <xf numFmtId="43" fontId="20" fillId="0" borderId="2" xfId="2" applyFont="1" applyFill="1" applyBorder="1" applyAlignment="1" applyProtection="1">
      <alignment horizontal="right"/>
      <protection hidden="1"/>
    </xf>
    <xf numFmtId="168" fontId="20" fillId="0" borderId="2" xfId="2" applyNumberFormat="1" applyFont="1" applyFill="1" applyBorder="1" applyAlignment="1" applyProtection="1">
      <alignment horizontal="right"/>
      <protection hidden="1"/>
    </xf>
    <xf numFmtId="43" fontId="20" fillId="0" borderId="2" xfId="2" applyFont="1" applyFill="1" applyBorder="1" applyAlignment="1" applyProtection="1">
      <alignment horizontal="right"/>
    </xf>
    <xf numFmtId="0" fontId="19" fillId="0" borderId="21" xfId="0" applyFont="1" applyBorder="1" applyAlignment="1" applyProtection="1">
      <alignment horizontal="left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left" wrapText="1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20" fillId="0" borderId="2" xfId="0" applyFont="1" applyBorder="1" applyAlignment="1" applyProtection="1">
      <alignment horizontal="left"/>
      <protection locked="0"/>
    </xf>
    <xf numFmtId="43" fontId="20" fillId="0" borderId="22" xfId="2" applyFont="1" applyFill="1" applyBorder="1" applyAlignment="1" applyProtection="1">
      <alignment horizontal="right"/>
    </xf>
    <xf numFmtId="0" fontId="20" fillId="0" borderId="32" xfId="0" applyFont="1" applyBorder="1" applyAlignment="1" applyProtection="1">
      <alignment horizontal="left"/>
      <protection locked="0"/>
    </xf>
    <xf numFmtId="0" fontId="19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0" fontId="0" fillId="0" borderId="0" xfId="0" applyBorder="1"/>
    <xf numFmtId="0" fontId="3" fillId="0" borderId="44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5" xfId="0" applyFont="1" applyFill="1" applyBorder="1" applyAlignment="1" applyProtection="1">
      <alignment horizontal="center"/>
    </xf>
    <xf numFmtId="168" fontId="15" fillId="0" borderId="36" xfId="2" applyNumberFormat="1" applyFont="1" applyBorder="1" applyAlignment="1" applyProtection="1">
      <alignment horizontal="right"/>
      <protection hidden="1"/>
    </xf>
    <xf numFmtId="0" fontId="15" fillId="0" borderId="46" xfId="0" applyFont="1" applyBorder="1" applyAlignment="1" applyProtection="1">
      <alignment horizontal="left"/>
      <protection locked="0"/>
    </xf>
    <xf numFmtId="0" fontId="15" fillId="0" borderId="47" xfId="0" applyFont="1" applyBorder="1" applyProtection="1">
      <protection hidden="1"/>
    </xf>
    <xf numFmtId="0" fontId="15" fillId="0" borderId="46" xfId="0" applyFont="1" applyBorder="1" applyProtection="1">
      <protection hidden="1"/>
    </xf>
    <xf numFmtId="167" fontId="26" fillId="0" borderId="0" xfId="5" applyProtection="1"/>
    <xf numFmtId="4" fontId="1" fillId="0" borderId="0" xfId="5" applyNumberFormat="1" applyFont="1" applyProtection="1"/>
    <xf numFmtId="4" fontId="19" fillId="6" borderId="0" xfId="5" applyNumberFormat="1" applyFont="1" applyFill="1" applyAlignment="1" applyProtection="1">
      <alignment horizontal="centerContinuous"/>
    </xf>
    <xf numFmtId="4" fontId="1" fillId="6" borderId="0" xfId="5" applyNumberFormat="1" applyFont="1" applyFill="1" applyAlignment="1" applyProtection="1">
      <alignment horizontal="centerContinuous"/>
    </xf>
    <xf numFmtId="4" fontId="17" fillId="6" borderId="0" xfId="5" applyNumberFormat="1" applyFont="1" applyFill="1" applyAlignment="1" applyProtection="1">
      <alignment horizontal="centerContinuous"/>
    </xf>
    <xf numFmtId="4" fontId="13" fillId="6" borderId="0" xfId="5" applyNumberFormat="1" applyFont="1" applyFill="1" applyAlignment="1" applyProtection="1">
      <alignment horizontal="centerContinuous"/>
    </xf>
    <xf numFmtId="167" fontId="26" fillId="6" borderId="0" xfId="5" applyFill="1" applyAlignment="1" applyProtection="1">
      <alignment horizontal="centerContinuous"/>
    </xf>
    <xf numFmtId="49" fontId="27" fillId="6" borderId="0" xfId="5" applyNumberFormat="1" applyFont="1" applyFill="1" applyAlignment="1" applyProtection="1">
      <alignment horizontal="centerContinuous"/>
    </xf>
    <xf numFmtId="167" fontId="26" fillId="0" borderId="0" xfId="5" applyBorder="1" applyProtection="1"/>
    <xf numFmtId="4" fontId="17" fillId="0" borderId="0" xfId="5" applyNumberFormat="1" applyFont="1" applyBorder="1" applyAlignment="1" applyProtection="1">
      <alignment horizontal="centerContinuous"/>
    </xf>
    <xf numFmtId="4" fontId="18" fillId="0" borderId="0" xfId="5" applyNumberFormat="1" applyFont="1" applyBorder="1" applyProtection="1"/>
    <xf numFmtId="4" fontId="18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5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0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26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26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0" xfId="6" applyNumberFormat="1" applyFont="1" applyBorder="1" applyProtection="1"/>
    <xf numFmtId="168" fontId="6" fillId="0" borderId="51" xfId="6" applyNumberFormat="1" applyFont="1" applyBorder="1" applyProtection="1"/>
    <xf numFmtId="167" fontId="30" fillId="7" borderId="52" xfId="5" applyFont="1" applyFill="1" applyBorder="1" applyProtection="1"/>
    <xf numFmtId="43" fontId="30" fillId="7" borderId="53" xfId="2" applyFont="1" applyFill="1" applyBorder="1" applyProtection="1"/>
    <xf numFmtId="0" fontId="31" fillId="0" borderId="0" xfId="0" applyFont="1" applyProtection="1"/>
    <xf numFmtId="4" fontId="13" fillId="8" borderId="0" xfId="5" applyNumberFormat="1" applyFont="1" applyFill="1" applyProtection="1"/>
    <xf numFmtId="4" fontId="1" fillId="8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1" fillId="0" borderId="8" xfId="0" applyNumberFormat="1" applyFont="1" applyBorder="1" applyAlignment="1" applyProtection="1">
      <alignment horizontal="center"/>
    </xf>
    <xf numFmtId="49" fontId="11" fillId="0" borderId="17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1" fillId="0" borderId="32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3" fontId="10" fillId="2" borderId="0" xfId="2" applyFont="1" applyFill="1" applyProtection="1"/>
    <xf numFmtId="43" fontId="14" fillId="0" borderId="0" xfId="2" applyFont="1" applyFill="1" applyBorder="1" applyAlignment="1" applyProtection="1">
      <alignment horizontal="right"/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7" xfId="0" applyNumberFormat="1" applyFont="1" applyBorder="1" applyProtection="1">
      <protection hidden="1"/>
    </xf>
    <xf numFmtId="49" fontId="10" fillId="0" borderId="0" xfId="0" applyNumberFormat="1" applyFont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168" fontId="15" fillId="0" borderId="18" xfId="2" applyNumberFormat="1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7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168" fontId="36" fillId="0" borderId="0" xfId="0" applyNumberFormat="1" applyFont="1" applyProtection="1">
      <protection hidden="1"/>
    </xf>
    <xf numFmtId="43" fontId="36" fillId="0" borderId="0" xfId="2" applyFont="1" applyProtection="1">
      <protection hidden="1"/>
    </xf>
    <xf numFmtId="0" fontId="36" fillId="0" borderId="0" xfId="0" applyFont="1" applyProtection="1">
      <protection hidden="1"/>
    </xf>
    <xf numFmtId="168" fontId="37" fillId="9" borderId="0" xfId="0" applyNumberFormat="1" applyFont="1" applyFill="1" applyProtection="1">
      <protection hidden="1"/>
    </xf>
    <xf numFmtId="43" fontId="37" fillId="9" borderId="0" xfId="2" applyFont="1" applyFill="1" applyProtection="1"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14" fillId="0" borderId="33" xfId="0" applyFont="1" applyFill="1" applyBorder="1" applyAlignment="1" applyProtection="1">
      <alignment horizontal="center"/>
      <protection locked="0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43" fontId="0" fillId="0" borderId="0" xfId="2" applyFont="1" applyFill="1" applyProtection="1">
      <protection hidden="1"/>
    </xf>
    <xf numFmtId="43" fontId="0" fillId="0" borderId="0" xfId="0" applyNumberFormat="1" applyFill="1" applyProtection="1">
      <protection hidden="1"/>
    </xf>
    <xf numFmtId="0" fontId="14" fillId="0" borderId="31" xfId="0" applyFont="1" applyFill="1" applyBorder="1" applyAlignment="1" applyProtection="1">
      <alignment horizontal="center"/>
      <protection locked="0"/>
    </xf>
    <xf numFmtId="0" fontId="14" fillId="0" borderId="16" xfId="0" applyFont="1" applyFill="1" applyBorder="1" applyAlignment="1" applyProtection="1">
      <alignment horizontal="left" wrapText="1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Fill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49" fontId="1" fillId="0" borderId="11" xfId="0" applyNumberFormat="1" applyFont="1" applyBorder="1" applyProtection="1">
      <protection hidden="1"/>
    </xf>
    <xf numFmtId="49" fontId="1" fillId="0" borderId="6" xfId="0" applyNumberFormat="1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12" xfId="0" applyFont="1" applyBorder="1" applyProtection="1">
      <protection hidden="1"/>
    </xf>
    <xf numFmtId="49" fontId="7" fillId="10" borderId="3" xfId="0" applyNumberFormat="1" applyFont="1" applyFill="1" applyBorder="1" applyProtection="1">
      <protection hidden="1"/>
    </xf>
    <xf numFmtId="0" fontId="7" fillId="10" borderId="3" xfId="0" applyFont="1" applyFill="1" applyBorder="1" applyProtection="1">
      <protection hidden="1"/>
    </xf>
    <xf numFmtId="0" fontId="3" fillId="10" borderId="3" xfId="0" applyFont="1" applyFill="1" applyBorder="1" applyAlignment="1" applyProtection="1">
      <alignment horizontal="center"/>
      <protection hidden="1"/>
    </xf>
    <xf numFmtId="0" fontId="3" fillId="10" borderId="5" xfId="0" applyFont="1" applyFill="1" applyBorder="1" applyAlignment="1" applyProtection="1">
      <alignment horizontal="center"/>
      <protection hidden="1"/>
    </xf>
    <xf numFmtId="0" fontId="0" fillId="10" borderId="0" xfId="0" applyFill="1" applyProtection="1">
      <protection hidden="1"/>
    </xf>
    <xf numFmtId="49" fontId="3" fillId="10" borderId="3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/>
      <protection hidden="1"/>
    </xf>
    <xf numFmtId="0" fontId="3" fillId="10" borderId="4" xfId="0" applyFont="1" applyFill="1" applyBorder="1" applyAlignment="1" applyProtection="1">
      <alignment horizontal="center"/>
      <protection hidden="1"/>
    </xf>
    <xf numFmtId="0" fontId="3" fillId="10" borderId="13" xfId="0" applyFont="1" applyFill="1" applyBorder="1" applyAlignment="1" applyProtection="1">
      <alignment horizontal="center"/>
      <protection hidden="1"/>
    </xf>
    <xf numFmtId="49" fontId="3" fillId="10" borderId="5" xfId="0" applyNumberFormat="1" applyFont="1" applyFill="1" applyBorder="1" applyAlignment="1" applyProtection="1">
      <alignment horizontal="center"/>
      <protection hidden="1"/>
    </xf>
    <xf numFmtId="0" fontId="6" fillId="10" borderId="4" xfId="0" applyFont="1" applyFill="1" applyBorder="1" applyAlignment="1" applyProtection="1">
      <alignment horizontal="center"/>
      <protection hidden="1"/>
    </xf>
    <xf numFmtId="0" fontId="2" fillId="10" borderId="4" xfId="0" applyFont="1" applyFill="1" applyBorder="1" applyAlignment="1" applyProtection="1">
      <alignment horizontal="center"/>
      <protection hidden="1"/>
    </xf>
    <xf numFmtId="0" fontId="6" fillId="10" borderId="13" xfId="0" applyFont="1" applyFill="1" applyBorder="1" applyAlignment="1" applyProtection="1">
      <alignment horizontal="center"/>
      <protection hidden="1"/>
    </xf>
    <xf numFmtId="0" fontId="2" fillId="10" borderId="13" xfId="0" applyFont="1" applyFill="1" applyBorder="1" applyAlignment="1" applyProtection="1">
      <alignment horizontal="center"/>
      <protection hidden="1"/>
    </xf>
    <xf numFmtId="49" fontId="11" fillId="10" borderId="4" xfId="0" applyNumberFormat="1" applyFont="1" applyFill="1" applyBorder="1" applyProtection="1">
      <protection hidden="1"/>
    </xf>
    <xf numFmtId="0" fontId="7" fillId="10" borderId="4" xfId="0" applyFont="1" applyFill="1" applyBorder="1" applyProtection="1"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49" fontId="12" fillId="10" borderId="3" xfId="0" applyNumberFormat="1" applyFont="1" applyFill="1" applyBorder="1" applyAlignment="1" applyProtection="1">
      <alignment horizontal="center"/>
      <protection hidden="1"/>
    </xf>
    <xf numFmtId="43" fontId="3" fillId="10" borderId="4" xfId="2" applyFont="1" applyFill="1" applyBorder="1" applyAlignment="1" applyProtection="1">
      <alignment horizontal="center" wrapText="1"/>
      <protection hidden="1"/>
    </xf>
    <xf numFmtId="49" fontId="12" fillId="10" borderId="5" xfId="0" applyNumberFormat="1" applyFont="1" applyFill="1" applyBorder="1" applyAlignment="1" applyProtection="1">
      <alignment horizontal="center"/>
      <protection hidden="1"/>
    </xf>
    <xf numFmtId="43" fontId="3" fillId="10" borderId="3" xfId="2" applyFont="1" applyFill="1" applyBorder="1" applyAlignment="1" applyProtection="1">
      <alignment horizontal="center" wrapText="1"/>
      <protection hidden="1"/>
    </xf>
    <xf numFmtId="49" fontId="12" fillId="10" borderId="13" xfId="0" applyNumberFormat="1" applyFont="1" applyFill="1" applyBorder="1" applyAlignment="1" applyProtection="1">
      <alignment horizontal="center"/>
      <protection hidden="1"/>
    </xf>
    <xf numFmtId="43" fontId="3" fillId="10" borderId="13" xfId="2" applyFont="1" applyFill="1" applyBorder="1" applyAlignment="1" applyProtection="1">
      <alignment horizontal="center"/>
      <protection hidden="1"/>
    </xf>
    <xf numFmtId="0" fontId="6" fillId="10" borderId="3" xfId="0" applyFont="1" applyFill="1" applyBorder="1" applyAlignment="1" applyProtection="1">
      <alignment horizontal="center"/>
      <protection hidden="1"/>
    </xf>
    <xf numFmtId="168" fontId="13" fillId="10" borderId="1" xfId="2" applyNumberFormat="1" applyFont="1" applyFill="1" applyBorder="1" applyAlignment="1" applyProtection="1">
      <alignment horizontal="right"/>
      <protection hidden="1"/>
    </xf>
    <xf numFmtId="168" fontId="6" fillId="10" borderId="1" xfId="2" applyNumberFormat="1" applyFont="1" applyFill="1" applyBorder="1" applyAlignment="1" applyProtection="1">
      <alignment horizontal="right"/>
      <protection hidden="1"/>
    </xf>
    <xf numFmtId="0" fontId="7" fillId="10" borderId="3" xfId="0" applyFont="1" applyFill="1" applyBorder="1" applyProtection="1"/>
    <xf numFmtId="0" fontId="3" fillId="10" borderId="3" xfId="0" applyFont="1" applyFill="1" applyBorder="1" applyAlignment="1" applyProtection="1">
      <alignment horizontal="center"/>
    </xf>
    <xf numFmtId="0" fontId="3" fillId="10" borderId="0" xfId="0" applyFont="1" applyFill="1" applyBorder="1" applyAlignment="1" applyProtection="1">
      <alignment horizontal="center"/>
    </xf>
    <xf numFmtId="0" fontId="3" fillId="10" borderId="4" xfId="0" applyFont="1" applyFill="1" applyBorder="1" applyAlignment="1" applyProtection="1">
      <alignment horizontal="center"/>
    </xf>
    <xf numFmtId="0" fontId="6" fillId="10" borderId="4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center"/>
    </xf>
    <xf numFmtId="43" fontId="1" fillId="0" borderId="0" xfId="0" applyNumberFormat="1" applyFont="1" applyProtection="1"/>
    <xf numFmtId="49" fontId="12" fillId="10" borderId="4" xfId="0" applyNumberFormat="1" applyFont="1" applyFill="1" applyBorder="1" applyProtection="1">
      <protection hidden="1"/>
    </xf>
    <xf numFmtId="0" fontId="11" fillId="10" borderId="4" xfId="0" applyFont="1" applyFill="1" applyBorder="1" applyProtection="1">
      <protection hidden="1"/>
    </xf>
    <xf numFmtId="0" fontId="11" fillId="10" borderId="6" xfId="0" applyFont="1" applyFill="1" applyBorder="1" applyProtection="1">
      <protection hidden="1"/>
    </xf>
    <xf numFmtId="0" fontId="12" fillId="10" borderId="26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/>
      <protection hidden="1"/>
    </xf>
    <xf numFmtId="0" fontId="12" fillId="10" borderId="4" xfId="0" applyFont="1" applyFill="1" applyBorder="1" applyAlignment="1" applyProtection="1">
      <alignment horizontal="center"/>
      <protection hidden="1"/>
    </xf>
    <xf numFmtId="0" fontId="12" fillId="10" borderId="13" xfId="0" applyFont="1" applyFill="1" applyBorder="1" applyAlignment="1" applyProtection="1">
      <alignment horizontal="center"/>
      <protection hidden="1"/>
    </xf>
    <xf numFmtId="0" fontId="12" fillId="10" borderId="3" xfId="0" applyFont="1" applyFill="1" applyBorder="1" applyAlignment="1" applyProtection="1">
      <alignment horizontal="center" wrapText="1"/>
      <protection hidden="1"/>
    </xf>
    <xf numFmtId="0" fontId="17" fillId="10" borderId="13" xfId="0" applyFont="1" applyFill="1" applyBorder="1" applyAlignment="1" applyProtection="1">
      <alignment horizontal="left"/>
      <protection hidden="1"/>
    </xf>
    <xf numFmtId="168" fontId="2" fillId="0" borderId="54" xfId="2" applyNumberFormat="1" applyFont="1" applyBorder="1" applyAlignment="1" applyProtection="1">
      <alignment horizontal="right"/>
      <protection hidden="1"/>
    </xf>
    <xf numFmtId="168" fontId="24" fillId="10" borderId="25" xfId="2" applyNumberFormat="1" applyFont="1" applyFill="1" applyBorder="1" applyAlignment="1" applyProtection="1">
      <alignment horizontal="right"/>
      <protection hidden="1"/>
    </xf>
    <xf numFmtId="49" fontId="7" fillId="10" borderId="3" xfId="0" applyNumberFormat="1" applyFont="1" applyFill="1" applyBorder="1" applyProtection="1"/>
    <xf numFmtId="49" fontId="3" fillId="10" borderId="3" xfId="0" applyNumberFormat="1" applyFont="1" applyFill="1" applyBorder="1" applyProtection="1"/>
    <xf numFmtId="0" fontId="3" fillId="10" borderId="14" xfId="0" applyFont="1" applyFill="1" applyBorder="1" applyAlignment="1" applyProtection="1">
      <alignment horizontal="center"/>
    </xf>
    <xf numFmtId="49" fontId="3" fillId="10" borderId="3" xfId="0" applyNumberFormat="1" applyFont="1" applyFill="1" applyBorder="1" applyAlignment="1" applyProtection="1">
      <alignment horizontal="center"/>
    </xf>
    <xf numFmtId="49" fontId="3" fillId="10" borderId="5" xfId="0" applyNumberFormat="1" applyFont="1" applyFill="1" applyBorder="1" applyAlignment="1" applyProtection="1">
      <alignment horizontal="center"/>
    </xf>
    <xf numFmtId="0" fontId="21" fillId="10" borderId="13" xfId="0" applyFont="1" applyFill="1" applyBorder="1" applyAlignment="1" applyProtection="1">
      <alignment horizontal="center"/>
    </xf>
    <xf numFmtId="0" fontId="22" fillId="10" borderId="13" xfId="0" applyFont="1" applyFill="1" applyBorder="1" applyAlignment="1" applyProtection="1">
      <alignment horizontal="center"/>
    </xf>
    <xf numFmtId="0" fontId="22" fillId="10" borderId="26" xfId="0" applyFont="1" applyFill="1" applyBorder="1" applyAlignment="1" applyProtection="1">
      <alignment horizontal="center"/>
    </xf>
    <xf numFmtId="0" fontId="6" fillId="10" borderId="13" xfId="0" applyFont="1" applyFill="1" applyBorder="1" applyAlignment="1" applyProtection="1">
      <alignment horizontal="left"/>
      <protection locked="0"/>
    </xf>
    <xf numFmtId="0" fontId="6" fillId="10" borderId="13" xfId="0" applyFont="1" applyFill="1" applyBorder="1" applyProtection="1"/>
    <xf numFmtId="168" fontId="6" fillId="10" borderId="13" xfId="0" applyNumberFormat="1" applyFont="1" applyFill="1" applyBorder="1" applyProtection="1"/>
    <xf numFmtId="168" fontId="3" fillId="10" borderId="13" xfId="0" applyNumberFormat="1" applyFont="1" applyFill="1" applyBorder="1" applyProtection="1"/>
    <xf numFmtId="168" fontId="16" fillId="10" borderId="1" xfId="2" applyNumberFormat="1" applyFont="1" applyFill="1" applyBorder="1" applyAlignment="1" applyProtection="1">
      <alignment horizontal="right"/>
      <protection hidden="1"/>
    </xf>
    <xf numFmtId="0" fontId="1" fillId="0" borderId="8" xfId="0" applyFont="1" applyFill="1" applyBorder="1" applyAlignment="1" applyProtection="1">
      <alignment horizontal="left"/>
      <protection locked="0"/>
    </xf>
    <xf numFmtId="49" fontId="18" fillId="0" borderId="29" xfId="0" applyNumberFormat="1" applyFont="1" applyBorder="1" applyAlignment="1" applyProtection="1">
      <alignment horizontal="center"/>
      <protection locked="0"/>
    </xf>
    <xf numFmtId="49" fontId="18" fillId="0" borderId="2" xfId="0" applyNumberFormat="1" applyFont="1" applyBorder="1" applyAlignment="1" applyProtection="1">
      <alignment horizontal="center"/>
      <protection locked="0"/>
    </xf>
    <xf numFmtId="0" fontId="18" fillId="0" borderId="16" xfId="0" applyFont="1" applyFill="1" applyBorder="1" applyProtection="1">
      <protection locked="0"/>
    </xf>
    <xf numFmtId="0" fontId="18" fillId="0" borderId="2" xfId="0" applyFont="1" applyFill="1" applyBorder="1" applyAlignment="1" applyProtection="1">
      <alignment horizontal="left"/>
      <protection locked="0"/>
    </xf>
    <xf numFmtId="168" fontId="18" fillId="0" borderId="2" xfId="2" applyNumberFormat="1" applyFont="1" applyFill="1" applyBorder="1" applyAlignment="1" applyProtection="1">
      <alignment horizontal="right"/>
      <protection hidden="1"/>
    </xf>
    <xf numFmtId="43" fontId="18" fillId="0" borderId="2" xfId="2" applyFont="1" applyFill="1" applyBorder="1" applyAlignment="1" applyProtection="1">
      <alignment horizontal="right"/>
      <protection hidden="1"/>
    </xf>
    <xf numFmtId="0" fontId="18" fillId="0" borderId="16" xfId="0" applyFont="1" applyFill="1" applyBorder="1" applyAlignment="1" applyProtection="1">
      <alignment horizontal="left" wrapText="1"/>
      <protection locked="0"/>
    </xf>
    <xf numFmtId="0" fontId="18" fillId="0" borderId="16" xfId="0" applyFont="1" applyFill="1" applyBorder="1" applyAlignment="1" applyProtection="1">
      <alignment horizontal="left"/>
      <protection locked="0"/>
    </xf>
    <xf numFmtId="0" fontId="18" fillId="0" borderId="2" xfId="0" applyFont="1" applyFill="1" applyBorder="1" applyAlignment="1" applyProtection="1">
      <alignment horizontal="left" wrapText="1"/>
      <protection locked="0"/>
    </xf>
    <xf numFmtId="49" fontId="18" fillId="0" borderId="3" xfId="0" applyNumberFormat="1" applyFont="1" applyBorder="1" applyAlignment="1" applyProtection="1">
      <alignment horizontal="center"/>
      <protection locked="0"/>
    </xf>
    <xf numFmtId="0" fontId="18" fillId="0" borderId="10" xfId="0" applyFont="1" applyFill="1" applyBorder="1" applyProtection="1">
      <protection locked="0"/>
    </xf>
    <xf numFmtId="49" fontId="18" fillId="0" borderId="2" xfId="0" applyNumberFormat="1" applyFont="1" applyFill="1" applyBorder="1" applyAlignment="1" applyProtection="1">
      <alignment horizontal="center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49" fontId="18" fillId="0" borderId="3" xfId="0" applyNumberFormat="1" applyFont="1" applyFill="1" applyBorder="1" applyAlignment="1" applyProtection="1">
      <alignment horizontal="center"/>
      <protection locked="0"/>
    </xf>
    <xf numFmtId="168" fontId="18" fillId="0" borderId="3" xfId="2" applyNumberFormat="1" applyFont="1" applyFill="1" applyBorder="1" applyAlignment="1" applyProtection="1">
      <alignment horizontal="right"/>
      <protection hidden="1"/>
    </xf>
    <xf numFmtId="43" fontId="18" fillId="0" borderId="3" xfId="2" applyFont="1" applyFill="1" applyBorder="1" applyAlignment="1" applyProtection="1">
      <alignment horizontal="right"/>
      <protection hidden="1"/>
    </xf>
    <xf numFmtId="49" fontId="18" fillId="0" borderId="29" xfId="0" applyNumberFormat="1" applyFont="1" applyFill="1" applyBorder="1" applyAlignment="1" applyProtection="1">
      <alignment horizontal="center"/>
      <protection locked="0"/>
    </xf>
    <xf numFmtId="0" fontId="18" fillId="0" borderId="25" xfId="0" applyFont="1" applyFill="1" applyBorder="1" applyAlignment="1" applyProtection="1">
      <alignment horizontal="left"/>
      <protection locked="0"/>
    </xf>
    <xf numFmtId="49" fontId="18" fillId="0" borderId="9" xfId="0" applyNumberFormat="1" applyFont="1" applyBorder="1" applyAlignment="1" applyProtection="1">
      <alignment horizontal="center"/>
      <protection locked="0"/>
    </xf>
    <xf numFmtId="49" fontId="18" fillId="0" borderId="9" xfId="0" applyNumberFormat="1" applyFont="1" applyFill="1" applyBorder="1" applyAlignment="1" applyProtection="1">
      <alignment horizontal="center"/>
      <protection locked="0"/>
    </xf>
    <xf numFmtId="49" fontId="18" fillId="0" borderId="22" xfId="0" applyNumberFormat="1" applyFont="1" applyBorder="1" applyAlignment="1" applyProtection="1">
      <alignment horizontal="center"/>
      <protection locked="0"/>
    </xf>
    <xf numFmtId="49" fontId="18" fillId="0" borderId="3" xfId="0" applyNumberFormat="1" applyFont="1" applyBorder="1" applyAlignment="1" applyProtection="1">
      <alignment horizontal="center"/>
      <protection hidden="1"/>
    </xf>
    <xf numFmtId="49" fontId="18" fillId="0" borderId="3" xfId="0" applyNumberFormat="1" applyFont="1" applyFill="1" applyBorder="1" applyAlignment="1" applyProtection="1">
      <alignment horizontal="center"/>
      <protection hidden="1"/>
    </xf>
    <xf numFmtId="49" fontId="18" fillId="0" borderId="16" xfId="0" applyNumberFormat="1" applyFont="1" applyFill="1" applyBorder="1" applyAlignment="1" applyProtection="1">
      <alignment horizontal="center"/>
      <protection locked="0"/>
    </xf>
    <xf numFmtId="49" fontId="18" fillId="0" borderId="20" xfId="0" applyNumberFormat="1" applyFont="1" applyBorder="1" applyAlignment="1" applyProtection="1">
      <alignment horizontal="center"/>
      <protection locked="0"/>
    </xf>
    <xf numFmtId="49" fontId="18" fillId="0" borderId="23" xfId="0" applyNumberFormat="1" applyFont="1" applyFill="1" applyBorder="1" applyAlignment="1" applyProtection="1">
      <alignment horizontal="center"/>
      <protection locked="0"/>
    </xf>
    <xf numFmtId="49" fontId="18" fillId="0" borderId="35" xfId="0" applyNumberFormat="1" applyFont="1" applyBorder="1" applyAlignment="1" applyProtection="1">
      <alignment horizontal="center"/>
      <protection locked="0"/>
    </xf>
    <xf numFmtId="49" fontId="18" fillId="0" borderId="35" xfId="0" applyNumberFormat="1" applyFont="1" applyFill="1" applyBorder="1" applyAlignment="1" applyProtection="1">
      <alignment horizontal="center"/>
      <protection locked="0"/>
    </xf>
    <xf numFmtId="0" fontId="18" fillId="0" borderId="43" xfId="0" applyFont="1" applyFill="1" applyBorder="1" applyAlignment="1" applyProtection="1">
      <alignment horizontal="left"/>
      <protection locked="0"/>
    </xf>
    <xf numFmtId="0" fontId="18" fillId="0" borderId="22" xfId="0" applyFont="1" applyFill="1" applyBorder="1" applyAlignment="1" applyProtection="1">
      <alignment horizontal="left"/>
      <protection locked="0"/>
    </xf>
    <xf numFmtId="168" fontId="18" fillId="0" borderId="32" xfId="2" applyNumberFormat="1" applyFont="1" applyFill="1" applyBorder="1" applyAlignment="1" applyProtection="1">
      <alignment horizontal="right"/>
      <protection hidden="1"/>
    </xf>
    <xf numFmtId="49" fontId="45" fillId="0" borderId="22" xfId="0" applyNumberFormat="1" applyFont="1" applyBorder="1" applyAlignment="1" applyProtection="1">
      <alignment horizontal="center"/>
    </xf>
    <xf numFmtId="49" fontId="45" fillId="0" borderId="30" xfId="0" applyNumberFormat="1" applyFont="1" applyFill="1" applyBorder="1" applyAlignment="1" applyProtection="1">
      <alignment horizontal="center"/>
    </xf>
    <xf numFmtId="0" fontId="44" fillId="0" borderId="16" xfId="0" applyFont="1" applyFill="1" applyBorder="1" applyAlignment="1" applyProtection="1">
      <alignment horizontal="left"/>
      <protection locked="0"/>
    </xf>
    <xf numFmtId="0" fontId="45" fillId="0" borderId="16" xfId="0" applyFont="1" applyFill="1" applyBorder="1" applyAlignment="1" applyProtection="1">
      <alignment horizontal="left"/>
      <protection locked="0"/>
    </xf>
    <xf numFmtId="0" fontId="45" fillId="0" borderId="16" xfId="0" applyFont="1" applyFill="1" applyBorder="1" applyAlignment="1" applyProtection="1">
      <alignment horizontal="center"/>
      <protection locked="0"/>
    </xf>
    <xf numFmtId="43" fontId="45" fillId="0" borderId="16" xfId="2" applyFont="1" applyFill="1" applyBorder="1" applyAlignment="1" applyProtection="1">
      <alignment horizontal="right"/>
    </xf>
    <xf numFmtId="168" fontId="45" fillId="0" borderId="16" xfId="2" applyNumberFormat="1" applyFont="1" applyFill="1" applyBorder="1" applyAlignment="1" applyProtection="1">
      <alignment horizontal="right"/>
      <protection hidden="1"/>
    </xf>
    <xf numFmtId="43" fontId="45" fillId="0" borderId="16" xfId="2" applyFont="1" applyFill="1" applyBorder="1" applyAlignment="1" applyProtection="1">
      <alignment horizontal="right"/>
      <protection hidden="1"/>
    </xf>
    <xf numFmtId="49" fontId="45" fillId="0" borderId="34" xfId="0" applyNumberFormat="1" applyFont="1" applyBorder="1" applyAlignment="1" applyProtection="1">
      <alignment horizontal="center"/>
    </xf>
    <xf numFmtId="49" fontId="45" fillId="0" borderId="9" xfId="0" applyNumberFormat="1" applyFont="1" applyFill="1" applyBorder="1" applyAlignment="1" applyProtection="1">
      <alignment horizontal="center"/>
    </xf>
    <xf numFmtId="0" fontId="45" fillId="0" borderId="2" xfId="0" applyFont="1" applyFill="1" applyBorder="1" applyAlignment="1" applyProtection="1">
      <alignment horizontal="left"/>
      <protection locked="0"/>
    </xf>
    <xf numFmtId="0" fontId="45" fillId="0" borderId="2" xfId="0" applyFont="1" applyFill="1" applyBorder="1" applyAlignment="1" applyProtection="1">
      <alignment horizontal="left" wrapText="1"/>
      <protection locked="0"/>
    </xf>
    <xf numFmtId="0" fontId="45" fillId="0" borderId="2" xfId="0" applyFont="1" applyFill="1" applyBorder="1" applyAlignment="1" applyProtection="1">
      <alignment horizontal="center"/>
      <protection locked="0"/>
    </xf>
    <xf numFmtId="168" fontId="45" fillId="0" borderId="2" xfId="2" applyNumberFormat="1" applyFont="1" applyFill="1" applyBorder="1" applyAlignment="1" applyProtection="1">
      <alignment horizontal="right"/>
    </xf>
    <xf numFmtId="43" fontId="45" fillId="0" borderId="2" xfId="2" applyFont="1" applyFill="1" applyBorder="1" applyAlignment="1" applyProtection="1">
      <alignment horizontal="right"/>
      <protection hidden="1"/>
    </xf>
    <xf numFmtId="168" fontId="45" fillId="0" borderId="2" xfId="2" applyNumberFormat="1" applyFont="1" applyFill="1" applyBorder="1" applyAlignment="1" applyProtection="1">
      <alignment horizontal="right"/>
      <protection hidden="1"/>
    </xf>
    <xf numFmtId="49" fontId="45" fillId="0" borderId="32" xfId="0" applyNumberFormat="1" applyFont="1" applyFill="1" applyBorder="1" applyAlignment="1" applyProtection="1">
      <alignment horizontal="center"/>
    </xf>
    <xf numFmtId="0" fontId="44" fillId="0" borderId="32" xfId="0" applyFont="1" applyFill="1" applyBorder="1" applyAlignment="1" applyProtection="1">
      <alignment horizontal="left"/>
      <protection locked="0"/>
    </xf>
    <xf numFmtId="0" fontId="45" fillId="0" borderId="9" xfId="0" applyFont="1" applyFill="1" applyBorder="1" applyAlignment="1" applyProtection="1">
      <alignment horizontal="left" wrapText="1"/>
      <protection locked="0"/>
    </xf>
    <xf numFmtId="0" fontId="45" fillId="0" borderId="32" xfId="0" applyFont="1" applyFill="1" applyBorder="1" applyAlignment="1" applyProtection="1">
      <alignment horizontal="left"/>
      <protection locked="0"/>
    </xf>
    <xf numFmtId="43" fontId="45" fillId="0" borderId="2" xfId="2" applyFont="1" applyFill="1" applyBorder="1" applyAlignment="1" applyProtection="1">
      <alignment horizontal="right"/>
    </xf>
    <xf numFmtId="49" fontId="45" fillId="0" borderId="42" xfId="0" applyNumberFormat="1" applyFont="1" applyFill="1" applyBorder="1" applyAlignment="1" applyProtection="1">
      <alignment horizontal="center"/>
    </xf>
    <xf numFmtId="0" fontId="44" fillId="0" borderId="25" xfId="0" applyFont="1" applyFill="1" applyBorder="1" applyAlignment="1" applyProtection="1">
      <alignment horizontal="left"/>
      <protection locked="0"/>
    </xf>
    <xf numFmtId="0" fontId="45" fillId="0" borderId="25" xfId="0" applyFont="1" applyFill="1" applyBorder="1" applyAlignment="1" applyProtection="1">
      <alignment horizontal="left"/>
      <protection locked="0"/>
    </xf>
    <xf numFmtId="0" fontId="44" fillId="0" borderId="2" xfId="0" applyFont="1" applyFill="1" applyBorder="1" applyAlignment="1" applyProtection="1">
      <alignment horizontal="left"/>
      <protection locked="0"/>
    </xf>
    <xf numFmtId="0" fontId="44" fillId="0" borderId="38" xfId="0" applyFont="1" applyFill="1" applyBorder="1" applyAlignment="1" applyProtection="1">
      <alignment horizontal="left"/>
    </xf>
    <xf numFmtId="0" fontId="44" fillId="0" borderId="24" xfId="0" applyFont="1" applyFill="1" applyBorder="1" applyAlignment="1" applyProtection="1">
      <alignment horizontal="center"/>
    </xf>
    <xf numFmtId="0" fontId="44" fillId="0" borderId="39" xfId="0" applyFont="1" applyFill="1" applyBorder="1" applyAlignment="1" applyProtection="1">
      <alignment horizontal="center"/>
    </xf>
    <xf numFmtId="0" fontId="44" fillId="0" borderId="10" xfId="0" applyFont="1" applyFill="1" applyBorder="1" applyAlignment="1" applyProtection="1">
      <alignment horizontal="center"/>
    </xf>
    <xf numFmtId="43" fontId="44" fillId="0" borderId="10" xfId="2" applyFont="1" applyFill="1" applyBorder="1" applyAlignment="1" applyProtection="1">
      <alignment horizontal="center"/>
    </xf>
    <xf numFmtId="43" fontId="44" fillId="0" borderId="40" xfId="2" applyFont="1" applyFill="1" applyBorder="1" applyAlignment="1" applyProtection="1">
      <alignment horizontal="center"/>
    </xf>
    <xf numFmtId="0" fontId="44" fillId="0" borderId="40" xfId="0" applyFont="1" applyFill="1" applyBorder="1" applyAlignment="1" applyProtection="1">
      <alignment horizontal="center"/>
    </xf>
    <xf numFmtId="0" fontId="45" fillId="0" borderId="8" xfId="0" applyFont="1" applyFill="1" applyBorder="1" applyAlignment="1" applyProtection="1">
      <alignment horizontal="left"/>
      <protection locked="0"/>
    </xf>
    <xf numFmtId="0" fontId="45" fillId="0" borderId="35" xfId="0" applyFont="1" applyFill="1" applyBorder="1" applyAlignment="1" applyProtection="1">
      <alignment horizontal="left"/>
      <protection locked="0"/>
    </xf>
    <xf numFmtId="0" fontId="45" fillId="0" borderId="9" xfId="0" applyFont="1" applyFill="1" applyBorder="1" applyAlignment="1" applyProtection="1">
      <alignment horizontal="center"/>
      <protection locked="0"/>
    </xf>
    <xf numFmtId="0" fontId="44" fillId="0" borderId="8" xfId="0" applyFont="1" applyFill="1" applyBorder="1" applyAlignment="1" applyProtection="1">
      <alignment horizontal="left"/>
      <protection locked="0"/>
    </xf>
    <xf numFmtId="0" fontId="45" fillId="0" borderId="22" xfId="0" applyFont="1" applyFill="1" applyBorder="1" applyAlignment="1" applyProtection="1">
      <alignment horizontal="center"/>
      <protection locked="0"/>
    </xf>
    <xf numFmtId="0" fontId="45" fillId="0" borderId="35" xfId="0" applyFont="1" applyFill="1" applyBorder="1" applyAlignment="1" applyProtection="1">
      <alignment horizontal="left" wrapText="1"/>
      <protection locked="0"/>
    </xf>
    <xf numFmtId="0" fontId="44" fillId="0" borderId="21" xfId="0" applyFont="1" applyBorder="1" applyAlignment="1" applyProtection="1">
      <alignment horizontal="left"/>
      <protection locked="0"/>
    </xf>
    <xf numFmtId="0" fontId="45" fillId="0" borderId="35" xfId="0" applyFont="1" applyBorder="1" applyAlignment="1" applyProtection="1">
      <alignment horizontal="left"/>
      <protection locked="0"/>
    </xf>
    <xf numFmtId="0" fontId="45" fillId="0" borderId="9" xfId="0" applyFont="1" applyBorder="1" applyAlignment="1" applyProtection="1">
      <alignment horizontal="center"/>
      <protection locked="0"/>
    </xf>
    <xf numFmtId="0" fontId="45" fillId="0" borderId="21" xfId="0" applyFont="1" applyFill="1" applyBorder="1" applyAlignment="1" applyProtection="1">
      <alignment horizontal="left"/>
      <protection locked="0"/>
    </xf>
    <xf numFmtId="43" fontId="45" fillId="0" borderId="8" xfId="2" applyFont="1" applyFill="1" applyBorder="1" applyAlignment="1" applyProtection="1">
      <alignment horizontal="right"/>
    </xf>
    <xf numFmtId="0" fontId="44" fillId="0" borderId="21" xfId="0" applyFont="1" applyFill="1" applyBorder="1" applyAlignment="1" applyProtection="1">
      <alignment horizontal="left"/>
      <protection locked="0"/>
    </xf>
    <xf numFmtId="0" fontId="44" fillId="0" borderId="41" xfId="0" applyFont="1" applyFill="1" applyBorder="1" applyAlignment="1" applyProtection="1">
      <alignment horizontal="left"/>
      <protection locked="0"/>
    </xf>
    <xf numFmtId="0" fontId="45" fillId="0" borderId="30" xfId="0" applyFont="1" applyFill="1" applyBorder="1" applyAlignment="1" applyProtection="1">
      <alignment horizontal="center"/>
      <protection locked="0"/>
    </xf>
    <xf numFmtId="168" fontId="45" fillId="0" borderId="31" xfId="2" applyNumberFormat="1" applyFont="1" applyFill="1" applyBorder="1" applyAlignment="1" applyProtection="1">
      <alignment horizontal="right"/>
      <protection hidden="1"/>
    </xf>
    <xf numFmtId="0" fontId="45" fillId="0" borderId="9" xfId="0" applyFont="1" applyFill="1" applyBorder="1" applyAlignment="1" applyProtection="1">
      <alignment horizontal="left"/>
      <protection locked="0"/>
    </xf>
    <xf numFmtId="0" fontId="44" fillId="0" borderId="2" xfId="0" applyFont="1" applyBorder="1" applyAlignment="1" applyProtection="1">
      <alignment horizontal="left"/>
      <protection locked="0"/>
    </xf>
    <xf numFmtId="0" fontId="45" fillId="0" borderId="2" xfId="0" applyFont="1" applyBorder="1" applyAlignment="1" applyProtection="1">
      <alignment horizontal="left"/>
      <protection locked="0"/>
    </xf>
    <xf numFmtId="0" fontId="45" fillId="0" borderId="2" xfId="0" applyFont="1" applyBorder="1" applyAlignment="1" applyProtection="1">
      <alignment horizontal="center"/>
      <protection locked="0"/>
    </xf>
    <xf numFmtId="168" fontId="45" fillId="0" borderId="2" xfId="2" applyNumberFormat="1" applyFont="1" applyBorder="1" applyAlignment="1" applyProtection="1">
      <alignment horizontal="right"/>
      <protection hidden="1"/>
    </xf>
    <xf numFmtId="43" fontId="45" fillId="0" borderId="2" xfId="2" applyFont="1" applyBorder="1" applyAlignment="1" applyProtection="1">
      <alignment horizontal="right"/>
      <protection hidden="1"/>
    </xf>
    <xf numFmtId="0" fontId="45" fillId="0" borderId="3" xfId="0" applyFont="1" applyFill="1" applyBorder="1" applyAlignment="1" applyProtection="1">
      <alignment horizontal="left"/>
      <protection locked="0"/>
    </xf>
    <xf numFmtId="0" fontId="45" fillId="0" borderId="3" xfId="0" applyFont="1" applyFill="1" applyBorder="1" applyAlignment="1" applyProtection="1">
      <alignment horizontal="left" wrapText="1"/>
      <protection locked="0"/>
    </xf>
    <xf numFmtId="0" fontId="45" fillId="0" borderId="3" xfId="0" applyFont="1" applyFill="1" applyBorder="1" applyAlignment="1" applyProtection="1">
      <alignment horizontal="center"/>
      <protection locked="0"/>
    </xf>
    <xf numFmtId="43" fontId="45" fillId="0" borderId="3" xfId="2" applyFont="1" applyFill="1" applyBorder="1" applyAlignment="1" applyProtection="1">
      <alignment horizontal="right"/>
    </xf>
    <xf numFmtId="0" fontId="45" fillId="0" borderId="2" xfId="0" applyFont="1" applyFill="1" applyBorder="1" applyAlignment="1" applyProtection="1">
      <alignment horizontal="center" wrapText="1"/>
      <protection locked="0"/>
    </xf>
    <xf numFmtId="0" fontId="45" fillId="0" borderId="10" xfId="0" applyFont="1" applyFill="1" applyBorder="1" applyAlignment="1" applyProtection="1">
      <alignment horizontal="left"/>
      <protection locked="0"/>
    </xf>
    <xf numFmtId="0" fontId="45" fillId="0" borderId="16" xfId="0" applyFont="1" applyFill="1" applyBorder="1" applyAlignment="1" applyProtection="1">
      <alignment horizontal="left" wrapText="1"/>
      <protection locked="0"/>
    </xf>
    <xf numFmtId="0" fontId="44" fillId="0" borderId="3" xfId="0" applyFont="1" applyFill="1" applyBorder="1" applyAlignment="1" applyProtection="1">
      <alignment horizontal="left"/>
      <protection hidden="1"/>
    </xf>
    <xf numFmtId="0" fontId="44" fillId="0" borderId="3" xfId="0" applyFont="1" applyFill="1" applyBorder="1" applyAlignment="1" applyProtection="1">
      <alignment horizontal="center"/>
      <protection hidden="1"/>
    </xf>
    <xf numFmtId="0" fontId="44" fillId="0" borderId="16" xfId="0" applyFont="1" applyFill="1" applyBorder="1" applyAlignment="1" applyProtection="1">
      <alignment horizontal="center"/>
      <protection hidden="1"/>
    </xf>
    <xf numFmtId="43" fontId="44" fillId="0" borderId="3" xfId="2" applyFont="1" applyFill="1" applyBorder="1" applyAlignment="1" applyProtection="1">
      <alignment horizontal="center"/>
      <protection hidden="1"/>
    </xf>
    <xf numFmtId="43" fontId="5" fillId="0" borderId="15" xfId="2" applyFont="1" applyBorder="1" applyProtection="1"/>
    <xf numFmtId="49" fontId="1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  <protection locked="0"/>
    </xf>
    <xf numFmtId="49" fontId="44" fillId="11" borderId="4" xfId="0" applyNumberFormat="1" applyFont="1" applyFill="1" applyBorder="1" applyAlignment="1" applyProtection="1">
      <alignment vertical="top"/>
    </xf>
    <xf numFmtId="0" fontId="45" fillId="11" borderId="3" xfId="0" applyFont="1" applyFill="1" applyBorder="1" applyProtection="1"/>
    <xf numFmtId="0" fontId="44" fillId="11" borderId="3" xfId="0" applyFont="1" applyFill="1" applyBorder="1" applyAlignment="1" applyProtection="1">
      <alignment horizontal="center"/>
    </xf>
    <xf numFmtId="43" fontId="44" fillId="11" borderId="0" xfId="2" applyFont="1" applyFill="1" applyBorder="1" applyAlignment="1" applyProtection="1">
      <alignment horizontal="center"/>
    </xf>
    <xf numFmtId="0" fontId="44" fillId="11" borderId="0" xfId="0" applyFont="1" applyFill="1" applyBorder="1" applyAlignment="1" applyProtection="1">
      <alignment horizontal="center"/>
    </xf>
    <xf numFmtId="0" fontId="44" fillId="11" borderId="5" xfId="0" applyFont="1" applyFill="1" applyBorder="1" applyAlignment="1" applyProtection="1">
      <alignment horizontal="center"/>
    </xf>
    <xf numFmtId="49" fontId="44" fillId="11" borderId="3" xfId="0" applyNumberFormat="1" applyFont="1" applyFill="1" applyBorder="1" applyAlignment="1" applyProtection="1">
      <alignment vertical="top"/>
    </xf>
    <xf numFmtId="43" fontId="44" fillId="11" borderId="3" xfId="2" applyFont="1" applyFill="1" applyBorder="1" applyAlignment="1" applyProtection="1">
      <alignment horizontal="center"/>
    </xf>
    <xf numFmtId="0" fontId="44" fillId="11" borderId="4" xfId="0" applyFont="1" applyFill="1" applyBorder="1" applyAlignment="1" applyProtection="1">
      <alignment horizontal="center"/>
    </xf>
    <xf numFmtId="43" fontId="44" fillId="11" borderId="4" xfId="2" applyFont="1" applyFill="1" applyBorder="1" applyAlignment="1" applyProtection="1">
      <alignment horizontal="center"/>
    </xf>
    <xf numFmtId="0" fontId="44" fillId="11" borderId="13" xfId="0" applyFont="1" applyFill="1" applyBorder="1" applyAlignment="1" applyProtection="1">
      <alignment horizontal="center"/>
    </xf>
    <xf numFmtId="49" fontId="44" fillId="11" borderId="2" xfId="0" applyNumberFormat="1" applyFont="1" applyFill="1" applyBorder="1" applyAlignment="1" applyProtection="1">
      <alignment vertical="top" wrapText="1"/>
    </xf>
    <xf numFmtId="43" fontId="44" fillId="11" borderId="6" xfId="2" applyFont="1" applyFill="1" applyBorder="1" applyAlignment="1" applyProtection="1">
      <alignment horizontal="center"/>
    </xf>
    <xf numFmtId="0" fontId="44" fillId="11" borderId="6" xfId="0" applyFont="1" applyFill="1" applyBorder="1" applyAlignment="1" applyProtection="1">
      <alignment horizontal="center"/>
    </xf>
    <xf numFmtId="49" fontId="45" fillId="0" borderId="2" xfId="0" applyNumberFormat="1" applyFont="1" applyBorder="1" applyAlignment="1" applyProtection="1">
      <alignment horizontal="center"/>
    </xf>
    <xf numFmtId="0" fontId="44" fillId="11" borderId="14" xfId="0" applyFont="1" applyFill="1" applyBorder="1" applyAlignment="1" applyProtection="1">
      <alignment horizontal="center"/>
    </xf>
    <xf numFmtId="49" fontId="45" fillId="0" borderId="9" xfId="0" applyNumberFormat="1" applyFont="1" applyBorder="1" applyAlignment="1" applyProtection="1">
      <alignment horizontal="center"/>
    </xf>
    <xf numFmtId="49" fontId="45" fillId="0" borderId="3" xfId="0" applyNumberFormat="1" applyFont="1" applyBorder="1" applyAlignment="1" applyProtection="1">
      <alignment horizontal="center"/>
    </xf>
    <xf numFmtId="49" fontId="45" fillId="0" borderId="2" xfId="0" applyNumberFormat="1" applyFont="1" applyFill="1" applyBorder="1" applyAlignment="1" applyProtection="1">
      <alignment horizontal="center"/>
    </xf>
    <xf numFmtId="49" fontId="45" fillId="0" borderId="2" xfId="0" applyNumberFormat="1" applyFont="1" applyFill="1" applyBorder="1" applyAlignment="1" applyProtection="1">
      <alignment horizontal="center"/>
      <protection locked="0"/>
    </xf>
    <xf numFmtId="49" fontId="45" fillId="0" borderId="3" xfId="0" applyNumberFormat="1" applyFont="1" applyFill="1" applyBorder="1" applyAlignment="1" applyProtection="1">
      <alignment horizontal="center"/>
      <protection locked="0"/>
    </xf>
    <xf numFmtId="49" fontId="44" fillId="0" borderId="3" xfId="0" applyNumberFormat="1" applyFont="1" applyFill="1" applyBorder="1" applyAlignment="1" applyProtection="1">
      <alignment horizontal="center"/>
      <protection hidden="1"/>
    </xf>
    <xf numFmtId="49" fontId="45" fillId="0" borderId="29" xfId="0" applyNumberFormat="1" applyFont="1" applyFill="1" applyBorder="1" applyAlignment="1" applyProtection="1">
      <alignment horizontal="center"/>
      <protection locked="0"/>
    </xf>
    <xf numFmtId="49" fontId="45" fillId="0" borderId="8" xfId="0" applyNumberFormat="1" applyFont="1" applyFill="1" applyBorder="1" applyAlignment="1" applyProtection="1">
      <alignment horizontal="center"/>
      <protection locked="0"/>
    </xf>
    <xf numFmtId="49" fontId="45" fillId="0" borderId="36" xfId="0" applyNumberFormat="1" applyFont="1" applyBorder="1" applyAlignment="1" applyProtection="1">
      <alignment horizontal="center"/>
    </xf>
    <xf numFmtId="49" fontId="45" fillId="0" borderId="7" xfId="0" applyNumberFormat="1" applyFont="1" applyBorder="1" applyAlignment="1" applyProtection="1">
      <alignment horizontal="center"/>
    </xf>
    <xf numFmtId="0" fontId="45" fillId="0" borderId="7" xfId="0" applyFont="1" applyBorder="1" applyProtection="1"/>
    <xf numFmtId="0" fontId="45" fillId="11" borderId="37" xfId="0" applyFont="1" applyFill="1" applyBorder="1" applyProtection="1"/>
    <xf numFmtId="0" fontId="44" fillId="11" borderId="27" xfId="0" applyFont="1" applyFill="1" applyBorder="1" applyAlignment="1" applyProtection="1">
      <alignment horizontal="center"/>
    </xf>
    <xf numFmtId="168" fontId="44" fillId="11" borderId="1" xfId="2" applyNumberFormat="1" applyFont="1" applyFill="1" applyBorder="1" applyAlignment="1" applyProtection="1">
      <alignment horizontal="right"/>
    </xf>
    <xf numFmtId="168" fontId="44" fillId="0" borderId="1" xfId="2" applyNumberFormat="1" applyFont="1" applyBorder="1" applyAlignment="1" applyProtection="1">
      <alignment horizontal="right"/>
    </xf>
    <xf numFmtId="49" fontId="45" fillId="0" borderId="0" xfId="0" applyNumberFormat="1" applyFont="1" applyProtection="1"/>
    <xf numFmtId="0" fontId="45" fillId="0" borderId="0" xfId="0" applyFont="1" applyProtection="1"/>
    <xf numFmtId="0" fontId="47" fillId="0" borderId="0" xfId="0" applyFont="1" applyProtection="1"/>
    <xf numFmtId="43" fontId="47" fillId="0" borderId="0" xfId="2" applyFont="1" applyProtection="1"/>
    <xf numFmtId="168" fontId="45" fillId="0" borderId="0" xfId="0" applyNumberFormat="1" applyFont="1" applyProtection="1"/>
    <xf numFmtId="43" fontId="47" fillId="0" borderId="0" xfId="0" applyNumberFormat="1" applyFont="1" applyFill="1" applyProtection="1"/>
    <xf numFmtId="168" fontId="47" fillId="0" borderId="0" xfId="0" applyNumberFormat="1" applyFont="1" applyFill="1" applyProtection="1"/>
    <xf numFmtId="43" fontId="47" fillId="0" borderId="0" xfId="2" applyFont="1" applyFill="1" applyProtection="1"/>
    <xf numFmtId="0" fontId="48" fillId="0" borderId="0" xfId="0" applyFont="1" applyProtection="1"/>
    <xf numFmtId="168" fontId="48" fillId="0" borderId="0" xfId="0" applyNumberFormat="1" applyFont="1" applyProtection="1"/>
    <xf numFmtId="0" fontId="47" fillId="0" borderId="0" xfId="0" applyFont="1" applyFill="1" applyProtection="1"/>
    <xf numFmtId="0" fontId="47" fillId="0" borderId="17" xfId="0" applyFont="1" applyFill="1" applyBorder="1" applyProtection="1"/>
    <xf numFmtId="0" fontId="45" fillId="0" borderId="15" xfId="0" applyFont="1" applyBorder="1" applyProtection="1"/>
    <xf numFmtId="0" fontId="45" fillId="0" borderId="0" xfId="0" applyFont="1" applyProtection="1">
      <protection hidden="1"/>
    </xf>
    <xf numFmtId="0" fontId="44" fillId="0" borderId="0" xfId="0" applyFont="1" applyFill="1" applyProtection="1">
      <protection hidden="1"/>
    </xf>
    <xf numFmtId="43" fontId="44" fillId="0" borderId="0" xfId="2" applyFont="1" applyFill="1" applyProtection="1">
      <protection hidden="1"/>
    </xf>
    <xf numFmtId="0" fontId="44" fillId="0" borderId="0" xfId="0" applyFont="1" applyProtection="1">
      <protection hidden="1"/>
    </xf>
    <xf numFmtId="49" fontId="44" fillId="11" borderId="4" xfId="0" applyNumberFormat="1" applyFont="1" applyFill="1" applyBorder="1" applyAlignment="1" applyProtection="1">
      <alignment vertical="top" wrapText="1"/>
    </xf>
    <xf numFmtId="0" fontId="45" fillId="11" borderId="4" xfId="0" applyFont="1" applyFill="1" applyBorder="1" applyProtection="1"/>
    <xf numFmtId="49" fontId="44" fillId="11" borderId="3" xfId="0" applyNumberFormat="1" applyFont="1" applyFill="1" applyBorder="1" applyAlignment="1" applyProtection="1">
      <alignment vertical="top" wrapText="1"/>
    </xf>
    <xf numFmtId="49" fontId="44" fillId="0" borderId="10" xfId="0" applyNumberFormat="1" applyFont="1" applyFill="1" applyBorder="1" applyAlignment="1" applyProtection="1">
      <alignment horizontal="center"/>
    </xf>
    <xf numFmtId="49" fontId="44" fillId="0" borderId="38" xfId="0" applyNumberFormat="1" applyFont="1" applyFill="1" applyBorder="1" applyAlignment="1" applyProtection="1">
      <alignment horizontal="center"/>
    </xf>
    <xf numFmtId="49" fontId="44" fillId="0" borderId="3" xfId="0" applyNumberFormat="1" applyFont="1" applyFill="1" applyBorder="1" applyAlignment="1" applyProtection="1">
      <alignment horizontal="center"/>
    </xf>
    <xf numFmtId="49" fontId="45" fillId="0" borderId="14" xfId="0" applyNumberFormat="1" applyFont="1" applyFill="1" applyBorder="1" applyAlignment="1" applyProtection="1">
      <alignment horizontal="center"/>
    </xf>
    <xf numFmtId="0" fontId="44" fillId="0" borderId="3" xfId="0" applyFont="1" applyFill="1" applyBorder="1" applyAlignment="1" applyProtection="1">
      <alignment horizontal="center"/>
    </xf>
    <xf numFmtId="49" fontId="45" fillId="0" borderId="8" xfId="0" applyNumberFormat="1" applyFont="1" applyBorder="1" applyAlignment="1" applyProtection="1">
      <alignment horizontal="center"/>
    </xf>
    <xf numFmtId="49" fontId="45" fillId="0" borderId="32" xfId="0" applyNumberFormat="1" applyFont="1" applyBorder="1" applyAlignment="1" applyProtection="1">
      <alignment horizontal="center"/>
    </xf>
    <xf numFmtId="49" fontId="45" fillId="0" borderId="8" xfId="0" applyNumberFormat="1" applyFont="1" applyBorder="1" applyAlignment="1" applyProtection="1">
      <alignment horizontal="center"/>
      <protection locked="0"/>
    </xf>
    <xf numFmtId="49" fontId="45" fillId="0" borderId="8" xfId="0" applyNumberFormat="1" applyFont="1" applyFill="1" applyBorder="1" applyAlignment="1" applyProtection="1">
      <alignment horizontal="center"/>
    </xf>
    <xf numFmtId="49" fontId="44" fillId="10" borderId="4" xfId="0" applyNumberFormat="1" applyFont="1" applyFill="1" applyBorder="1" applyAlignment="1" applyProtection="1">
      <alignment vertical="top"/>
    </xf>
    <xf numFmtId="0" fontId="45" fillId="10" borderId="3" xfId="0" applyFont="1" applyFill="1" applyBorder="1" applyProtection="1"/>
    <xf numFmtId="0" fontId="44" fillId="10" borderId="3" xfId="0" applyFont="1" applyFill="1" applyBorder="1" applyAlignment="1" applyProtection="1">
      <alignment horizontal="center"/>
    </xf>
    <xf numFmtId="43" fontId="44" fillId="10" borderId="0" xfId="2" applyFont="1" applyFill="1" applyBorder="1" applyAlignment="1" applyProtection="1">
      <alignment horizontal="center"/>
    </xf>
    <xf numFmtId="0" fontId="44" fillId="10" borderId="0" xfId="0" applyFont="1" applyFill="1" applyBorder="1" applyAlignment="1" applyProtection="1">
      <alignment horizontal="center"/>
    </xf>
    <xf numFmtId="0" fontId="44" fillId="10" borderId="5" xfId="0" applyFont="1" applyFill="1" applyBorder="1" applyAlignment="1" applyProtection="1">
      <alignment horizontal="center"/>
    </xf>
    <xf numFmtId="49" fontId="44" fillId="10" borderId="3" xfId="0" applyNumberFormat="1" applyFont="1" applyFill="1" applyBorder="1" applyAlignment="1" applyProtection="1">
      <alignment vertical="top"/>
    </xf>
    <xf numFmtId="43" fontId="44" fillId="10" borderId="3" xfId="2" applyFont="1" applyFill="1" applyBorder="1" applyAlignment="1" applyProtection="1">
      <alignment horizontal="center"/>
    </xf>
    <xf numFmtId="0" fontId="44" fillId="10" borderId="4" xfId="0" applyFont="1" applyFill="1" applyBorder="1" applyAlignment="1" applyProtection="1">
      <alignment horizontal="center"/>
    </xf>
    <xf numFmtId="43" fontId="44" fillId="10" borderId="4" xfId="2" applyFont="1" applyFill="1" applyBorder="1" applyAlignment="1" applyProtection="1">
      <alignment horizontal="center"/>
    </xf>
    <xf numFmtId="0" fontId="44" fillId="10" borderId="13" xfId="0" applyFont="1" applyFill="1" applyBorder="1" applyAlignment="1" applyProtection="1">
      <alignment horizontal="center"/>
    </xf>
    <xf numFmtId="49" fontId="44" fillId="10" borderId="2" xfId="0" applyNumberFormat="1" applyFont="1" applyFill="1" applyBorder="1" applyAlignment="1" applyProtection="1">
      <alignment vertical="top" wrapText="1"/>
    </xf>
    <xf numFmtId="43" fontId="44" fillId="10" borderId="6" xfId="2" applyFont="1" applyFill="1" applyBorder="1" applyAlignment="1" applyProtection="1">
      <alignment horizontal="center"/>
    </xf>
    <xf numFmtId="0" fontId="44" fillId="10" borderId="6" xfId="0" applyFont="1" applyFill="1" applyBorder="1" applyAlignment="1" applyProtection="1">
      <alignment horizontal="center"/>
    </xf>
    <xf numFmtId="49" fontId="44" fillId="0" borderId="9" xfId="0" applyNumberFormat="1" applyFont="1" applyFill="1" applyBorder="1" applyAlignment="1" applyProtection="1">
      <alignment horizontal="center" vertical="center"/>
    </xf>
    <xf numFmtId="0" fontId="44" fillId="0" borderId="20" xfId="0" applyFont="1" applyFill="1" applyBorder="1" applyAlignment="1" applyProtection="1">
      <alignment horizontal="center"/>
    </xf>
    <xf numFmtId="0" fontId="44" fillId="0" borderId="16" xfId="0" applyFont="1" applyFill="1" applyBorder="1" applyAlignment="1" applyProtection="1">
      <alignment horizontal="center"/>
    </xf>
    <xf numFmtId="0" fontId="44" fillId="0" borderId="55" xfId="0" applyFont="1" applyFill="1" applyBorder="1" applyAlignment="1" applyProtection="1">
      <alignment horizontal="center"/>
    </xf>
    <xf numFmtId="49" fontId="45" fillId="0" borderId="22" xfId="0" applyNumberFormat="1" applyFont="1" applyFill="1" applyBorder="1" applyAlignment="1" applyProtection="1">
      <alignment horizontal="center"/>
    </xf>
    <xf numFmtId="49" fontId="45" fillId="0" borderId="32" xfId="0" applyNumberFormat="1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5" fillId="0" borderId="48" xfId="0" applyFont="1" applyBorder="1" applyAlignment="1" applyProtection="1">
      <alignment horizontal="center"/>
      <protection hidden="1"/>
    </xf>
    <xf numFmtId="0" fontId="25" fillId="0" borderId="15" xfId="0" applyFont="1" applyBorder="1" applyAlignment="1" applyProtection="1">
      <alignment horizontal="center"/>
      <protection hidden="1"/>
    </xf>
    <xf numFmtId="0" fontId="25" fillId="0" borderId="28" xfId="0" applyFont="1" applyBorder="1" applyAlignment="1" applyProtection="1">
      <alignment horizontal="center"/>
      <protection hidden="1"/>
    </xf>
    <xf numFmtId="0" fontId="3" fillId="10" borderId="48" xfId="0" applyFont="1" applyFill="1" applyBorder="1" applyAlignment="1" applyProtection="1">
      <alignment horizontal="center"/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0" fontId="38" fillId="0" borderId="11" xfId="0" applyFont="1" applyBorder="1" applyAlignment="1" applyProtection="1">
      <alignment horizontal="center"/>
      <protection hidden="1"/>
    </xf>
    <xf numFmtId="0" fontId="38" fillId="0" borderId="6" xfId="0" applyFont="1" applyBorder="1" applyAlignment="1" applyProtection="1">
      <alignment horizontal="center"/>
      <protection hidden="1"/>
    </xf>
    <xf numFmtId="0" fontId="38" fillId="0" borderId="12" xfId="0" applyFont="1" applyBorder="1" applyAlignment="1" applyProtection="1">
      <alignment horizontal="center"/>
      <protection hidden="1"/>
    </xf>
    <xf numFmtId="0" fontId="39" fillId="0" borderId="14" xfId="0" applyFont="1" applyBorder="1" applyAlignment="1" applyProtection="1">
      <alignment horizontal="center"/>
      <protection hidden="1"/>
    </xf>
    <xf numFmtId="0" fontId="39" fillId="0" borderId="0" xfId="0" applyFont="1" applyBorder="1" applyAlignment="1" applyProtection="1">
      <alignment horizontal="center"/>
      <protection hidden="1"/>
    </xf>
    <xf numFmtId="0" fontId="39" fillId="0" borderId="23" xfId="0" applyFont="1" applyBorder="1" applyAlignment="1" applyProtection="1">
      <alignment horizontal="center"/>
      <protection hidden="1"/>
    </xf>
    <xf numFmtId="0" fontId="38" fillId="0" borderId="14" xfId="0" applyFont="1" applyBorder="1" applyAlignment="1" applyProtection="1">
      <alignment horizontal="center"/>
      <protection hidden="1"/>
    </xf>
    <xf numFmtId="0" fontId="38" fillId="0" borderId="0" xfId="0" applyFont="1" applyBorder="1" applyAlignment="1" applyProtection="1">
      <alignment horizontal="center"/>
      <protection hidden="1"/>
    </xf>
    <xf numFmtId="0" fontId="38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40" fillId="0" borderId="0" xfId="0" applyFont="1" applyBorder="1" applyAlignment="1" applyProtection="1">
      <alignment horizontal="center"/>
      <protection hidden="1"/>
    </xf>
    <xf numFmtId="0" fontId="3" fillId="10" borderId="27" xfId="0" applyFont="1" applyFill="1" applyBorder="1" applyAlignment="1" applyProtection="1">
      <alignment horizontal="center"/>
      <protection hidden="1"/>
    </xf>
    <xf numFmtId="0" fontId="3" fillId="10" borderId="49" xfId="0" applyFont="1" applyFill="1" applyBorder="1" applyAlignment="1" applyProtection="1">
      <alignment horizontal="center"/>
      <protection hidden="1"/>
    </xf>
    <xf numFmtId="0" fontId="3" fillId="10" borderId="26" xfId="0" applyFont="1" applyFill="1" applyBorder="1" applyAlignment="1" applyProtection="1">
      <alignment horizontal="center"/>
      <protection hidden="1"/>
    </xf>
    <xf numFmtId="0" fontId="41" fillId="0" borderId="0" xfId="0" applyFont="1" applyBorder="1" applyAlignment="1" applyProtection="1">
      <alignment horizontal="center"/>
      <protection hidden="1"/>
    </xf>
    <xf numFmtId="0" fontId="40" fillId="0" borderId="14" xfId="0" applyFont="1" applyBorder="1" applyAlignment="1" applyProtection="1">
      <alignment horizontal="center"/>
      <protection hidden="1"/>
    </xf>
    <xf numFmtId="0" fontId="40" fillId="0" borderId="23" xfId="0" applyFont="1" applyBorder="1" applyAlignment="1" applyProtection="1">
      <alignment horizontal="center"/>
      <protection hidden="1"/>
    </xf>
    <xf numFmtId="0" fontId="41" fillId="2" borderId="0" xfId="0" applyFont="1" applyFill="1" applyBorder="1" applyAlignment="1" applyProtection="1">
      <alignment horizontal="center"/>
    </xf>
    <xf numFmtId="0" fontId="41" fillId="2" borderId="0" xfId="0" applyFont="1" applyFill="1" applyBorder="1" applyAlignment="1" applyProtection="1">
      <alignment horizontal="center"/>
      <protection locked="0"/>
    </xf>
    <xf numFmtId="0" fontId="43" fillId="2" borderId="11" xfId="0" applyFont="1" applyFill="1" applyBorder="1" applyAlignment="1" applyProtection="1">
      <alignment horizontal="center"/>
    </xf>
    <xf numFmtId="0" fontId="43" fillId="2" borderId="6" xfId="0" applyFont="1" applyFill="1" applyBorder="1" applyAlignment="1" applyProtection="1">
      <alignment horizontal="center"/>
    </xf>
    <xf numFmtId="0" fontId="43" fillId="2" borderId="12" xfId="0" applyFont="1" applyFill="1" applyBorder="1" applyAlignment="1" applyProtection="1">
      <alignment horizontal="center"/>
    </xf>
    <xf numFmtId="0" fontId="43" fillId="2" borderId="14" xfId="0" applyFont="1" applyFill="1" applyBorder="1" applyAlignment="1" applyProtection="1">
      <alignment horizontal="center"/>
      <protection locked="0"/>
    </xf>
    <xf numFmtId="0" fontId="43" fillId="2" borderId="0" xfId="0" applyFont="1" applyFill="1" applyBorder="1" applyAlignment="1" applyProtection="1">
      <alignment horizontal="center"/>
      <protection locked="0"/>
    </xf>
    <xf numFmtId="0" fontId="43" fillId="2" borderId="23" xfId="0" applyFont="1" applyFill="1" applyBorder="1" applyAlignment="1" applyProtection="1">
      <alignment horizontal="center"/>
      <protection locked="0"/>
    </xf>
    <xf numFmtId="0" fontId="44" fillId="11" borderId="48" xfId="0" applyFont="1" applyFill="1" applyBorder="1" applyAlignment="1" applyProtection="1">
      <alignment horizontal="center"/>
    </xf>
    <xf numFmtId="0" fontId="44" fillId="11" borderId="15" xfId="0" applyFont="1" applyFill="1" applyBorder="1" applyAlignment="1" applyProtection="1">
      <alignment horizontal="center"/>
    </xf>
    <xf numFmtId="0" fontId="44" fillId="11" borderId="28" xfId="0" applyFont="1" applyFill="1" applyBorder="1" applyAlignment="1" applyProtection="1">
      <alignment horizontal="center"/>
    </xf>
    <xf numFmtId="0" fontId="43" fillId="2" borderId="48" xfId="0" applyFont="1" applyFill="1" applyBorder="1" applyAlignment="1" applyProtection="1">
      <alignment horizontal="center"/>
      <protection locked="0"/>
    </xf>
    <xf numFmtId="0" fontId="43" fillId="2" borderId="15" xfId="0" applyFont="1" applyFill="1" applyBorder="1" applyAlignment="1" applyProtection="1">
      <alignment horizontal="center"/>
      <protection locked="0"/>
    </xf>
    <xf numFmtId="0" fontId="43" fillId="2" borderId="28" xfId="0" applyFont="1" applyFill="1" applyBorder="1" applyAlignment="1" applyProtection="1">
      <alignment horizontal="center"/>
      <protection locked="0"/>
    </xf>
    <xf numFmtId="49" fontId="44" fillId="11" borderId="4" xfId="0" applyNumberFormat="1" applyFont="1" applyFill="1" applyBorder="1" applyAlignment="1" applyProtection="1">
      <alignment horizontal="center" vertical="center"/>
    </xf>
    <xf numFmtId="49" fontId="44" fillId="11" borderId="3" xfId="0" applyNumberFormat="1" applyFont="1" applyFill="1" applyBorder="1" applyAlignment="1" applyProtection="1">
      <alignment horizontal="center" vertical="center"/>
    </xf>
    <xf numFmtId="49" fontId="44" fillId="11" borderId="2" xfId="0" applyNumberFormat="1" applyFont="1" applyFill="1" applyBorder="1" applyAlignment="1" applyProtection="1">
      <alignment horizontal="center" vertical="center"/>
    </xf>
    <xf numFmtId="0" fontId="43" fillId="2" borderId="14" xfId="0" applyFont="1" applyFill="1" applyBorder="1" applyAlignment="1" applyProtection="1">
      <alignment horizontal="center"/>
    </xf>
    <xf numFmtId="0" fontId="43" fillId="2" borderId="0" xfId="0" applyFont="1" applyFill="1" applyBorder="1" applyAlignment="1" applyProtection="1">
      <alignment horizontal="center"/>
    </xf>
    <xf numFmtId="0" fontId="43" fillId="2" borderId="23" xfId="0" applyFont="1" applyFill="1" applyBorder="1" applyAlignment="1" applyProtection="1">
      <alignment horizontal="center"/>
    </xf>
    <xf numFmtId="0" fontId="44" fillId="0" borderId="0" xfId="0" applyFont="1" applyAlignment="1" applyProtection="1">
      <alignment horizontal="center"/>
      <protection hidden="1"/>
    </xf>
    <xf numFmtId="0" fontId="44" fillId="10" borderId="48" xfId="0" applyFont="1" applyFill="1" applyBorder="1" applyAlignment="1" applyProtection="1">
      <alignment horizontal="center"/>
    </xf>
    <xf numFmtId="0" fontId="44" fillId="10" borderId="15" xfId="0" applyFont="1" applyFill="1" applyBorder="1" applyAlignment="1" applyProtection="1">
      <alignment horizontal="center"/>
    </xf>
    <xf numFmtId="0" fontId="44" fillId="10" borderId="28" xfId="0" applyFont="1" applyFill="1" applyBorder="1" applyAlignment="1" applyProtection="1">
      <alignment horizontal="center"/>
    </xf>
    <xf numFmtId="0" fontId="45" fillId="0" borderId="6" xfId="0" applyFont="1" applyBorder="1" applyAlignment="1" applyProtection="1">
      <alignment horizontal="center"/>
      <protection hidden="1"/>
    </xf>
    <xf numFmtId="0" fontId="46" fillId="0" borderId="0" xfId="0" applyFont="1" applyFill="1" applyBorder="1" applyAlignment="1" applyProtection="1">
      <alignment horizontal="center"/>
      <protection locked="0"/>
    </xf>
    <xf numFmtId="0" fontId="46" fillId="0" borderId="0" xfId="0" applyFont="1" applyFill="1" applyBorder="1" applyAlignment="1" applyProtection="1">
      <alignment horizontal="center"/>
    </xf>
    <xf numFmtId="49" fontId="44" fillId="10" borderId="4" xfId="0" applyNumberFormat="1" applyFont="1" applyFill="1" applyBorder="1" applyAlignment="1" applyProtection="1">
      <alignment horizontal="center" vertical="center"/>
    </xf>
    <xf numFmtId="49" fontId="44" fillId="10" borderId="3" xfId="0" applyNumberFormat="1" applyFont="1" applyFill="1" applyBorder="1" applyAlignment="1" applyProtection="1">
      <alignment horizontal="center" vertical="center"/>
    </xf>
    <xf numFmtId="49" fontId="44" fillId="10" borderId="2" xfId="0" applyNumberFormat="1" applyFont="1" applyFill="1" applyBorder="1" applyAlignment="1" applyProtection="1">
      <alignment horizontal="center" vertical="center"/>
    </xf>
    <xf numFmtId="0" fontId="42" fillId="0" borderId="14" xfId="0" applyFont="1" applyBorder="1" applyAlignment="1" applyProtection="1">
      <alignment horizontal="center"/>
      <protection hidden="1"/>
    </xf>
    <xf numFmtId="0" fontId="42" fillId="0" borderId="0" xfId="0" applyFont="1" applyBorder="1" applyAlignment="1" applyProtection="1">
      <alignment horizontal="center"/>
      <protection hidden="1"/>
    </xf>
    <xf numFmtId="0" fontId="42" fillId="0" borderId="23" xfId="0" applyFont="1" applyBorder="1" applyAlignment="1" applyProtection="1">
      <alignment horizontal="center"/>
      <protection hidden="1"/>
    </xf>
    <xf numFmtId="0" fontId="12" fillId="10" borderId="11" xfId="0" applyFont="1" applyFill="1" applyBorder="1" applyAlignment="1" applyProtection="1">
      <alignment horizontal="center"/>
      <protection hidden="1"/>
    </xf>
    <xf numFmtId="0" fontId="12" fillId="10" borderId="6" xfId="0" applyFont="1" applyFill="1" applyBorder="1" applyAlignment="1" applyProtection="1">
      <alignment horizontal="center"/>
      <protection hidden="1"/>
    </xf>
    <xf numFmtId="0" fontId="12" fillId="10" borderId="12" xfId="0" applyFont="1" applyFill="1" applyBorder="1" applyAlignment="1" applyProtection="1">
      <alignment horizontal="center"/>
      <protection hidden="1"/>
    </xf>
    <xf numFmtId="0" fontId="42" fillId="0" borderId="11" xfId="0" applyFont="1" applyBorder="1" applyAlignment="1" applyProtection="1">
      <alignment horizontal="center"/>
      <protection hidden="1"/>
    </xf>
    <xf numFmtId="0" fontId="42" fillId="0" borderId="6" xfId="0" applyFont="1" applyBorder="1" applyAlignment="1" applyProtection="1">
      <alignment horizontal="center"/>
      <protection hidden="1"/>
    </xf>
    <xf numFmtId="0" fontId="42" fillId="0" borderId="12" xfId="0" applyFont="1" applyBorder="1" applyAlignment="1" applyProtection="1">
      <alignment horizontal="center"/>
      <protection hidden="1"/>
    </xf>
    <xf numFmtId="0" fontId="16" fillId="0" borderId="27" xfId="0" applyFont="1" applyBorder="1" applyAlignment="1" applyProtection="1">
      <alignment horizontal="center"/>
      <protection hidden="1"/>
    </xf>
    <xf numFmtId="0" fontId="16" fillId="0" borderId="26" xfId="0" applyFont="1" applyBorder="1" applyAlignment="1" applyProtection="1">
      <alignment horizontal="center"/>
      <protection hidden="1"/>
    </xf>
    <xf numFmtId="0" fontId="42" fillId="0" borderId="48" xfId="0" applyFont="1" applyBorder="1" applyAlignment="1" applyProtection="1">
      <alignment horizontal="center"/>
      <protection hidden="1"/>
    </xf>
    <xf numFmtId="0" fontId="42" fillId="0" borderId="15" xfId="0" applyFont="1" applyBorder="1" applyAlignment="1" applyProtection="1">
      <alignment horizontal="center"/>
      <protection hidden="1"/>
    </xf>
    <xf numFmtId="0" fontId="42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40" fillId="0" borderId="11" xfId="0" applyFont="1" applyBorder="1" applyAlignment="1" applyProtection="1">
      <alignment horizontal="center"/>
    </xf>
    <xf numFmtId="0" fontId="40" fillId="0" borderId="6" xfId="0" applyFont="1" applyBorder="1" applyAlignment="1" applyProtection="1">
      <alignment horizontal="center"/>
    </xf>
    <xf numFmtId="0" fontId="40" fillId="0" borderId="12" xfId="0" applyFont="1" applyBorder="1" applyAlignment="1" applyProtection="1">
      <alignment horizontal="center"/>
    </xf>
    <xf numFmtId="0" fontId="40" fillId="0" borderId="14" xfId="0" applyFont="1" applyBorder="1" applyAlignment="1" applyProtection="1">
      <alignment horizontal="center"/>
      <protection locked="0"/>
    </xf>
    <xf numFmtId="0" fontId="40" fillId="0" borderId="0" xfId="0" applyFont="1" applyBorder="1" applyAlignment="1" applyProtection="1">
      <alignment horizontal="center"/>
      <protection locked="0"/>
    </xf>
    <xf numFmtId="0" fontId="40" fillId="0" borderId="23" xfId="0" applyFont="1" applyBorder="1" applyAlignment="1" applyProtection="1">
      <alignment horizontal="center"/>
      <protection locked="0"/>
    </xf>
    <xf numFmtId="0" fontId="3" fillId="10" borderId="48" xfId="0" applyFont="1" applyFill="1" applyBorder="1" applyAlignment="1" applyProtection="1">
      <alignment horizontal="center"/>
    </xf>
    <xf numFmtId="0" fontId="3" fillId="10" borderId="28" xfId="0" applyFont="1" applyFill="1" applyBorder="1" applyAlignment="1" applyProtection="1">
      <alignment horizontal="center"/>
    </xf>
    <xf numFmtId="0" fontId="29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3" t="s">
        <v>91</v>
      </c>
    </row>
    <row r="4" spans="1:1" x14ac:dyDescent="0.25">
      <c r="A4" s="33" t="s">
        <v>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1"/>
  <sheetViews>
    <sheetView workbookViewId="0">
      <selection activeCell="D14" sqref="D14"/>
    </sheetView>
  </sheetViews>
  <sheetFormatPr baseColWidth="10" defaultColWidth="11.44140625" defaultRowHeight="13.2" x14ac:dyDescent="0.25"/>
  <cols>
    <col min="1" max="1" width="5.88671875" style="13" customWidth="1"/>
    <col min="2" max="2" width="5.33203125" style="196" customWidth="1"/>
    <col min="3" max="3" width="4.44140625" style="196" customWidth="1"/>
    <col min="4" max="4" width="44" style="13" customWidth="1"/>
    <col min="5" max="5" width="12.33203125" style="13" customWidth="1"/>
    <col min="6" max="6" width="5.5546875" style="13" customWidth="1"/>
    <col min="7" max="7" width="13.109375" style="13" customWidth="1"/>
    <col min="8" max="8" width="13.5546875" style="13" bestFit="1" customWidth="1"/>
    <col min="9" max="9" width="11.88671875" style="13" hidden="1" customWidth="1"/>
    <col min="10" max="10" width="11.88671875" style="13" bestFit="1" customWidth="1"/>
    <col min="11" max="11" width="10.88671875" style="13" hidden="1" customWidth="1"/>
    <col min="12" max="12" width="11" style="13" customWidth="1"/>
    <col min="13" max="13" width="13.5546875" style="13" bestFit="1" customWidth="1"/>
    <col min="14" max="14" width="65.88671875" style="13" customWidth="1"/>
    <col min="15" max="16384" width="11.44140625" style="13"/>
  </cols>
  <sheetData>
    <row r="1" spans="2:16" ht="5.25" customHeight="1" x14ac:dyDescent="0.25"/>
    <row r="2" spans="2:16" ht="5.25" customHeight="1" x14ac:dyDescent="0.25">
      <c r="B2" s="285"/>
      <c r="C2" s="286"/>
      <c r="D2" s="287"/>
      <c r="E2" s="287"/>
      <c r="F2" s="287"/>
      <c r="G2" s="287"/>
      <c r="H2" s="287"/>
      <c r="I2" s="287"/>
      <c r="J2" s="287"/>
      <c r="K2" s="287"/>
      <c r="L2" s="287"/>
      <c r="M2" s="288"/>
      <c r="N2" s="26"/>
    </row>
    <row r="3" spans="2:16" ht="21" x14ac:dyDescent="0.5">
      <c r="B3" s="532" t="s">
        <v>290</v>
      </c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4"/>
    </row>
    <row r="4" spans="2:16" ht="21" x14ac:dyDescent="0.5">
      <c r="B4" s="538" t="s">
        <v>139</v>
      </c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40"/>
    </row>
    <row r="5" spans="2:16" ht="18.600000000000001" x14ac:dyDescent="0.45">
      <c r="B5" s="535" t="s">
        <v>460</v>
      </c>
      <c r="C5" s="536"/>
      <c r="D5" s="536"/>
      <c r="E5" s="536"/>
      <c r="F5" s="536"/>
      <c r="G5" s="536"/>
      <c r="H5" s="536"/>
      <c r="I5" s="536"/>
      <c r="J5" s="536"/>
      <c r="K5" s="536"/>
      <c r="L5" s="536"/>
      <c r="M5" s="536"/>
      <c r="N5" s="537"/>
    </row>
    <row r="6" spans="2:16" ht="16.2" x14ac:dyDescent="0.3">
      <c r="B6" s="527"/>
      <c r="C6" s="528"/>
      <c r="D6" s="528"/>
      <c r="E6" s="528"/>
      <c r="F6" s="528"/>
      <c r="G6" s="528"/>
      <c r="H6" s="528"/>
      <c r="I6" s="528"/>
      <c r="J6" s="528"/>
      <c r="K6" s="528"/>
      <c r="L6" s="528"/>
      <c r="M6" s="529"/>
      <c r="N6" s="76"/>
    </row>
    <row r="7" spans="2:16" x14ac:dyDescent="0.25">
      <c r="B7" s="289"/>
      <c r="C7" s="289" t="s">
        <v>208</v>
      </c>
      <c r="D7" s="290"/>
      <c r="E7" s="290"/>
      <c r="F7" s="291" t="s">
        <v>4</v>
      </c>
      <c r="G7" s="291"/>
      <c r="H7" s="292"/>
      <c r="I7" s="530"/>
      <c r="J7" s="531"/>
      <c r="K7" s="531"/>
      <c r="L7" s="531"/>
      <c r="M7" s="531"/>
      <c r="N7" s="293"/>
    </row>
    <row r="8" spans="2:16" ht="12.75" customHeight="1" x14ac:dyDescent="0.25">
      <c r="B8" s="294" t="s">
        <v>3</v>
      </c>
      <c r="C8" s="294"/>
      <c r="D8" s="291"/>
      <c r="E8" s="291"/>
      <c r="F8" s="295" t="s">
        <v>5</v>
      </c>
      <c r="G8" s="296" t="s">
        <v>1</v>
      </c>
      <c r="H8" s="297" t="s">
        <v>125</v>
      </c>
      <c r="I8" s="297"/>
      <c r="J8" s="297" t="s">
        <v>129</v>
      </c>
      <c r="K8" s="297" t="s">
        <v>119</v>
      </c>
      <c r="L8" s="297"/>
      <c r="M8" s="297" t="s">
        <v>2</v>
      </c>
      <c r="N8" s="297"/>
    </row>
    <row r="9" spans="2:16" ht="13.8" x14ac:dyDescent="0.25">
      <c r="B9" s="298"/>
      <c r="C9" s="294" t="s">
        <v>209</v>
      </c>
      <c r="D9" s="299"/>
      <c r="E9" s="300" t="s">
        <v>10</v>
      </c>
      <c r="F9" s="291"/>
      <c r="G9" s="291" t="s">
        <v>127</v>
      </c>
      <c r="H9" s="296" t="s">
        <v>128</v>
      </c>
      <c r="I9" s="297" t="s">
        <v>118</v>
      </c>
      <c r="J9" s="296" t="s">
        <v>130</v>
      </c>
      <c r="K9" s="296" t="s">
        <v>120</v>
      </c>
      <c r="L9" s="296" t="s">
        <v>131</v>
      </c>
      <c r="M9" s="296" t="s">
        <v>121</v>
      </c>
      <c r="N9" s="297" t="s">
        <v>132</v>
      </c>
    </row>
    <row r="10" spans="2:16" ht="13.8" x14ac:dyDescent="0.25">
      <c r="B10" s="294"/>
      <c r="C10" s="294"/>
      <c r="D10" s="301" t="s">
        <v>81</v>
      </c>
      <c r="E10" s="302" t="s">
        <v>9</v>
      </c>
      <c r="F10" s="297"/>
      <c r="G10" s="297"/>
      <c r="H10" s="297"/>
      <c r="I10" s="297"/>
      <c r="J10" s="297"/>
      <c r="K10" s="297"/>
      <c r="L10" s="297"/>
      <c r="M10" s="297"/>
      <c r="N10" s="297"/>
    </row>
    <row r="11" spans="2:16" ht="13.8" x14ac:dyDescent="0.25">
      <c r="B11" s="197"/>
      <c r="C11" s="197"/>
      <c r="D11" s="15"/>
      <c r="E11" s="15"/>
      <c r="F11" s="14"/>
      <c r="G11" s="14"/>
      <c r="H11" s="14"/>
      <c r="I11" s="14"/>
      <c r="J11" s="14"/>
      <c r="K11" s="14"/>
      <c r="L11" s="14"/>
      <c r="M11" s="14"/>
      <c r="N11" s="44"/>
    </row>
    <row r="12" spans="2:16" ht="35.1" customHeight="1" x14ac:dyDescent="0.25">
      <c r="B12" s="198" t="s">
        <v>461</v>
      </c>
      <c r="C12" s="198" t="s">
        <v>450</v>
      </c>
      <c r="D12" s="3" t="s">
        <v>298</v>
      </c>
      <c r="E12" s="3" t="s">
        <v>67</v>
      </c>
      <c r="F12" s="4">
        <v>15</v>
      </c>
      <c r="G12" s="17">
        <v>10584</v>
      </c>
      <c r="H12" s="17">
        <f>G12</f>
        <v>10584</v>
      </c>
      <c r="I12" s="17"/>
      <c r="J12" s="17">
        <f t="shared" ref="J12:J18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195"/>
      <c r="L12" s="17">
        <f t="shared" ref="L12:L18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7">
        <f>H12-L12</f>
        <v>9034.36</v>
      </c>
      <c r="N12" s="44"/>
      <c r="O12" s="42"/>
      <c r="P12" s="43"/>
    </row>
    <row r="13" spans="2:16" ht="35.1" customHeight="1" x14ac:dyDescent="0.25">
      <c r="B13" s="198" t="s">
        <v>462</v>
      </c>
      <c r="C13" s="198" t="s">
        <v>214</v>
      </c>
      <c r="D13" s="3" t="s">
        <v>310</v>
      </c>
      <c r="E13" s="3" t="s">
        <v>67</v>
      </c>
      <c r="F13" s="4">
        <v>15</v>
      </c>
      <c r="G13" s="17">
        <v>10584</v>
      </c>
      <c r="H13" s="17">
        <f t="shared" ref="H13:H21" si="2">G13</f>
        <v>10584</v>
      </c>
      <c r="I13" s="17"/>
      <c r="J13" s="17">
        <f t="shared" si="0"/>
        <v>0</v>
      </c>
      <c r="K13" s="195"/>
      <c r="L13" s="17">
        <f t="shared" si="1"/>
        <v>1549.64</v>
      </c>
      <c r="M13" s="17">
        <f t="shared" ref="M13:M21" si="3">H13-L13</f>
        <v>9034.36</v>
      </c>
      <c r="N13" s="44"/>
      <c r="O13" s="42"/>
      <c r="P13" s="43"/>
    </row>
    <row r="14" spans="2:16" ht="35.1" customHeight="1" x14ac:dyDescent="0.25">
      <c r="B14" s="198" t="s">
        <v>463</v>
      </c>
      <c r="C14" s="198" t="s">
        <v>214</v>
      </c>
      <c r="D14" s="3" t="s">
        <v>299</v>
      </c>
      <c r="E14" s="3" t="s">
        <v>67</v>
      </c>
      <c r="F14" s="4">
        <v>15</v>
      </c>
      <c r="G14" s="17">
        <v>10584</v>
      </c>
      <c r="H14" s="17">
        <f t="shared" si="2"/>
        <v>10584</v>
      </c>
      <c r="I14" s="17"/>
      <c r="J14" s="17">
        <f t="shared" si="0"/>
        <v>0</v>
      </c>
      <c r="K14" s="195"/>
      <c r="L14" s="17">
        <f t="shared" si="1"/>
        <v>1549.64</v>
      </c>
      <c r="M14" s="17">
        <f t="shared" si="3"/>
        <v>9034.36</v>
      </c>
      <c r="N14" s="44"/>
      <c r="O14" s="42"/>
      <c r="P14" s="43"/>
    </row>
    <row r="15" spans="2:16" ht="35.1" customHeight="1" x14ac:dyDescent="0.25">
      <c r="B15" s="198" t="s">
        <v>464</v>
      </c>
      <c r="C15" s="198" t="s">
        <v>214</v>
      </c>
      <c r="D15" s="3" t="s">
        <v>300</v>
      </c>
      <c r="E15" s="3" t="s">
        <v>67</v>
      </c>
      <c r="F15" s="4">
        <v>15</v>
      </c>
      <c r="G15" s="17">
        <v>10584</v>
      </c>
      <c r="H15" s="17">
        <f t="shared" si="2"/>
        <v>10584</v>
      </c>
      <c r="I15" s="17"/>
      <c r="J15" s="17">
        <f t="shared" si="0"/>
        <v>0</v>
      </c>
      <c r="K15" s="195"/>
      <c r="L15" s="17">
        <f t="shared" si="1"/>
        <v>1549.64</v>
      </c>
      <c r="M15" s="17">
        <f t="shared" si="3"/>
        <v>9034.36</v>
      </c>
      <c r="N15" s="44"/>
      <c r="O15" s="42"/>
      <c r="P15" s="43"/>
    </row>
    <row r="16" spans="2:16" ht="35.1" customHeight="1" x14ac:dyDescent="0.25">
      <c r="B16" s="198" t="s">
        <v>465</v>
      </c>
      <c r="C16" s="198" t="s">
        <v>214</v>
      </c>
      <c r="D16" s="3" t="s">
        <v>301</v>
      </c>
      <c r="E16" s="3" t="s">
        <v>67</v>
      </c>
      <c r="F16" s="4">
        <v>15</v>
      </c>
      <c r="G16" s="17">
        <v>10584</v>
      </c>
      <c r="H16" s="17">
        <f t="shared" si="2"/>
        <v>10584</v>
      </c>
      <c r="I16" s="17"/>
      <c r="J16" s="17">
        <v>0</v>
      </c>
      <c r="K16" s="195"/>
      <c r="L16" s="17">
        <f t="shared" si="1"/>
        <v>1549.64</v>
      </c>
      <c r="M16" s="17">
        <f t="shared" si="3"/>
        <v>9034.36</v>
      </c>
      <c r="N16" s="44"/>
      <c r="O16" s="42"/>
      <c r="P16" s="43"/>
    </row>
    <row r="17" spans="2:16" ht="35.1" customHeight="1" x14ac:dyDescent="0.25">
      <c r="B17" s="198" t="s">
        <v>466</v>
      </c>
      <c r="C17" s="198" t="s">
        <v>214</v>
      </c>
      <c r="D17" s="3" t="s">
        <v>311</v>
      </c>
      <c r="E17" s="3" t="s">
        <v>67</v>
      </c>
      <c r="F17" s="4">
        <v>15</v>
      </c>
      <c r="G17" s="17">
        <v>10584</v>
      </c>
      <c r="H17" s="17">
        <f t="shared" si="2"/>
        <v>10584</v>
      </c>
      <c r="I17" s="17"/>
      <c r="J17" s="17">
        <f t="shared" si="0"/>
        <v>0</v>
      </c>
      <c r="K17" s="195"/>
      <c r="L17" s="17">
        <f t="shared" si="1"/>
        <v>1549.64</v>
      </c>
      <c r="M17" s="17">
        <f t="shared" si="3"/>
        <v>9034.36</v>
      </c>
      <c r="N17" s="44"/>
      <c r="O17" s="42"/>
      <c r="P17" s="43"/>
    </row>
    <row r="18" spans="2:16" ht="35.1" customHeight="1" x14ac:dyDescent="0.25">
      <c r="B18" s="198" t="s">
        <v>296</v>
      </c>
      <c r="C18" s="198" t="s">
        <v>450</v>
      </c>
      <c r="D18" s="3" t="s">
        <v>302</v>
      </c>
      <c r="E18" s="3" t="s">
        <v>67</v>
      </c>
      <c r="F18" s="4">
        <v>15</v>
      </c>
      <c r="G18" s="17">
        <v>10584</v>
      </c>
      <c r="H18" s="17">
        <f t="shared" si="2"/>
        <v>10584</v>
      </c>
      <c r="I18" s="17"/>
      <c r="J18" s="17">
        <f t="shared" si="0"/>
        <v>0</v>
      </c>
      <c r="K18" s="195"/>
      <c r="L18" s="17">
        <f t="shared" si="1"/>
        <v>1549.64</v>
      </c>
      <c r="M18" s="17">
        <f t="shared" si="3"/>
        <v>9034.36</v>
      </c>
      <c r="N18" s="44"/>
      <c r="O18" s="42"/>
      <c r="P18" s="43"/>
    </row>
    <row r="19" spans="2:16" ht="35.1" customHeight="1" x14ac:dyDescent="0.25">
      <c r="B19" s="198" t="s">
        <v>467</v>
      </c>
      <c r="C19" s="198" t="s">
        <v>214</v>
      </c>
      <c r="D19" s="3" t="s">
        <v>303</v>
      </c>
      <c r="E19" s="3" t="s">
        <v>67</v>
      </c>
      <c r="F19" s="4">
        <v>15</v>
      </c>
      <c r="G19" s="17">
        <v>10584</v>
      </c>
      <c r="H19" s="17">
        <v>10584</v>
      </c>
      <c r="I19" s="17"/>
      <c r="J19" s="17">
        <v>0</v>
      </c>
      <c r="K19" s="195"/>
      <c r="L19" s="17">
        <v>1549.64</v>
      </c>
      <c r="M19" s="17">
        <f t="shared" si="3"/>
        <v>9034.36</v>
      </c>
      <c r="N19" s="44"/>
      <c r="O19" s="42"/>
      <c r="P19" s="43"/>
    </row>
    <row r="20" spans="2:16" ht="35.1" customHeight="1" x14ac:dyDescent="0.25">
      <c r="B20" s="259" t="s">
        <v>210</v>
      </c>
      <c r="C20" s="198" t="s">
        <v>450</v>
      </c>
      <c r="D20" s="3" t="s">
        <v>151</v>
      </c>
      <c r="E20" s="3" t="s">
        <v>67</v>
      </c>
      <c r="F20" s="4">
        <v>15</v>
      </c>
      <c r="G20" s="17">
        <v>10584</v>
      </c>
      <c r="H20" s="17">
        <f t="shared" si="2"/>
        <v>10584</v>
      </c>
      <c r="I20" s="17"/>
      <c r="J20" s="17">
        <v>0</v>
      </c>
      <c r="K20" s="195"/>
      <c r="L20" s="17">
        <v>1549.64</v>
      </c>
      <c r="M20" s="17">
        <f t="shared" si="3"/>
        <v>9034.36</v>
      </c>
      <c r="N20" s="44"/>
      <c r="O20" s="42"/>
      <c r="P20" s="43"/>
    </row>
    <row r="21" spans="2:16" ht="35.1" customHeight="1" x14ac:dyDescent="0.25">
      <c r="B21" s="260" t="s">
        <v>468</v>
      </c>
      <c r="C21" s="198" t="s">
        <v>214</v>
      </c>
      <c r="D21" s="3" t="s">
        <v>304</v>
      </c>
      <c r="E21" s="3" t="s">
        <v>68</v>
      </c>
      <c r="F21" s="4">
        <v>15</v>
      </c>
      <c r="G21" s="17">
        <v>17366.96</v>
      </c>
      <c r="H21" s="17">
        <f t="shared" si="2"/>
        <v>17366.96</v>
      </c>
      <c r="I21" s="17"/>
      <c r="J21" s="17">
        <f t="shared" ref="J21" si="4">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</f>
        <v>0</v>
      </c>
      <c r="K21" s="195"/>
      <c r="L21" s="17">
        <f t="shared" ref="L21" si="5">IFERROR(IF(ROUND((((H21/F21*30.4)-VLOOKUP((H21/F21*30.4),TARIFA,1))*VLOOKUP((H21/F21*30.4),TARIFA,3)+VLOOKUP((H21/F21*30.4),TARIFA,2)-VLOOKUP((H21/F21*30.4),SUBSIDIO,2))/30.4*F21,2)&gt;0,ROUND((((H21/F21*30.4)-VLOOKUP((H21/F21*30.4),TARIFA,1))*VLOOKUP((H21/F21*30.4),TARIFA,3)+VLOOKUP((H21/F21*30.4),TARIFA,2)-VLOOKUP((H21/F21*30.4),SUBSIDIO,2))/30.4*F21,2),0),0)</f>
        <v>3085.97</v>
      </c>
      <c r="M21" s="17">
        <f t="shared" si="3"/>
        <v>14280.99</v>
      </c>
      <c r="N21" s="44"/>
      <c r="O21" s="42"/>
      <c r="P21" s="43"/>
    </row>
    <row r="22" spans="2:16" x14ac:dyDescent="0.25">
      <c r="B22" s="199"/>
      <c r="C22" s="199"/>
      <c r="D22" s="20"/>
      <c r="E22" s="20"/>
      <c r="F22" s="21"/>
      <c r="G22" s="23"/>
      <c r="H22" s="24"/>
      <c r="I22" s="24"/>
      <c r="J22" s="24"/>
      <c r="K22" s="24"/>
      <c r="L22" s="24"/>
      <c r="M22" s="24"/>
      <c r="N22" s="34"/>
    </row>
    <row r="23" spans="2:16" ht="14.4" thickBot="1" x14ac:dyDescent="0.3">
      <c r="B23" s="525" t="s">
        <v>61</v>
      </c>
      <c r="C23" s="526"/>
      <c r="D23" s="526"/>
      <c r="E23" s="526"/>
      <c r="F23" s="526"/>
      <c r="G23" s="75">
        <f t="shared" ref="G23:L23" si="6">SUM(G12:G21)</f>
        <v>112622.95999999999</v>
      </c>
      <c r="H23" s="75">
        <f t="shared" si="6"/>
        <v>112622.95999999999</v>
      </c>
      <c r="I23" s="75">
        <f t="shared" si="6"/>
        <v>0</v>
      </c>
      <c r="J23" s="75">
        <f t="shared" si="6"/>
        <v>0</v>
      </c>
      <c r="K23" s="75">
        <f t="shared" si="6"/>
        <v>0</v>
      </c>
      <c r="L23" s="75">
        <f t="shared" si="6"/>
        <v>17032.73</v>
      </c>
      <c r="M23" s="75">
        <f>SUM(M12:M21)</f>
        <v>95590.23000000001</v>
      </c>
      <c r="N23" s="25"/>
    </row>
    <row r="24" spans="2:16" ht="14.4" thickTop="1" x14ac:dyDescent="0.25">
      <c r="B24" s="200"/>
      <c r="C24" s="200"/>
      <c r="D24" s="77"/>
      <c r="E24" s="77"/>
      <c r="F24" s="77"/>
      <c r="G24" s="79"/>
      <c r="H24" s="79"/>
      <c r="I24" s="79"/>
      <c r="J24" s="79"/>
      <c r="K24" s="79"/>
      <c r="L24" s="79"/>
      <c r="M24" s="79"/>
      <c r="N24" s="78"/>
    </row>
    <row r="25" spans="2:16" ht="13.8" x14ac:dyDescent="0.25">
      <c r="B25" s="200"/>
      <c r="C25" s="200"/>
      <c r="D25" s="77"/>
      <c r="E25" s="77"/>
      <c r="F25" s="77"/>
      <c r="G25" s="79"/>
      <c r="H25" s="79"/>
      <c r="I25" s="79"/>
      <c r="J25" s="79"/>
      <c r="K25" s="79"/>
      <c r="L25" s="79"/>
      <c r="M25" s="79"/>
      <c r="N25" s="78"/>
    </row>
    <row r="26" spans="2:16" ht="13.8" x14ac:dyDescent="0.25">
      <c r="B26" s="200"/>
      <c r="C26" s="200"/>
      <c r="D26" s="77"/>
      <c r="E26" s="77"/>
      <c r="F26" s="77"/>
      <c r="G26" s="79"/>
      <c r="H26" s="79"/>
      <c r="I26" s="79"/>
      <c r="J26" s="79"/>
      <c r="K26" s="79"/>
      <c r="L26" s="79"/>
      <c r="M26" s="79"/>
      <c r="N26" s="78"/>
    </row>
    <row r="27" spans="2:16" ht="13.8" x14ac:dyDescent="0.25">
      <c r="B27" s="200"/>
      <c r="C27" s="200"/>
      <c r="D27" s="77"/>
      <c r="E27" s="77"/>
      <c r="F27" s="77"/>
      <c r="G27" s="79"/>
      <c r="H27" s="79"/>
      <c r="I27" s="79"/>
      <c r="J27" s="79"/>
      <c r="K27" s="79"/>
      <c r="L27" s="79"/>
      <c r="M27" s="79"/>
      <c r="N27" s="78"/>
    </row>
    <row r="28" spans="2:16" ht="13.8" x14ac:dyDescent="0.25">
      <c r="B28" s="200"/>
      <c r="C28" s="200"/>
      <c r="D28" s="77"/>
      <c r="E28" s="77"/>
      <c r="F28" s="77"/>
      <c r="G28" s="79"/>
      <c r="H28" s="79"/>
      <c r="I28" s="79"/>
      <c r="J28" s="79"/>
      <c r="K28" s="79"/>
      <c r="L28" s="79"/>
      <c r="M28" s="79"/>
      <c r="N28" s="78"/>
    </row>
    <row r="31" spans="2:16" x14ac:dyDescent="0.25">
      <c r="D31" s="26" t="s">
        <v>99</v>
      </c>
      <c r="M31" s="26" t="s">
        <v>99</v>
      </c>
    </row>
    <row r="32" spans="2:16" x14ac:dyDescent="0.25">
      <c r="D32" s="26" t="s">
        <v>305</v>
      </c>
      <c r="M32" s="13" t="s">
        <v>306</v>
      </c>
    </row>
    <row r="33" spans="2:13" x14ac:dyDescent="0.25">
      <c r="D33" s="27" t="s">
        <v>11</v>
      </c>
      <c r="G33" s="27"/>
      <c r="H33" s="27"/>
      <c r="I33" s="27"/>
      <c r="J33" s="27"/>
      <c r="K33" s="27"/>
      <c r="L33" s="27"/>
      <c r="M33" s="27" t="s">
        <v>307</v>
      </c>
    </row>
    <row r="35" spans="2:13" x14ac:dyDescent="0.25">
      <c r="D35" s="30"/>
      <c r="F35" s="26"/>
    </row>
    <row r="36" spans="2:13" x14ac:dyDescent="0.25">
      <c r="B36" s="201"/>
      <c r="C36" s="201"/>
      <c r="D36" s="31"/>
      <c r="E36" s="27"/>
      <c r="F36" s="27"/>
      <c r="G36" s="27"/>
      <c r="H36" s="27"/>
      <c r="I36" s="27"/>
      <c r="J36" s="27"/>
      <c r="K36" s="27"/>
      <c r="L36" s="27"/>
      <c r="M36" s="27"/>
    </row>
    <row r="40" spans="2:13" x14ac:dyDescent="0.25">
      <c r="D40" s="26"/>
    </row>
    <row r="41" spans="2:13" x14ac:dyDescent="0.25">
      <c r="D41" s="27"/>
      <c r="E41" s="27"/>
      <c r="F41" s="27"/>
      <c r="G41" s="27"/>
      <c r="H41" s="27"/>
      <c r="I41" s="27"/>
      <c r="J41" s="27"/>
      <c r="K41" s="27"/>
      <c r="L41" s="27"/>
      <c r="M41" s="27"/>
    </row>
  </sheetData>
  <sheetProtection selectLockedCells="1" selectUnlockedCells="1"/>
  <mergeCells count="6">
    <mergeCell ref="B23:F23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7"/>
  <sheetViews>
    <sheetView topLeftCell="A100" zoomScaleNormal="100" workbookViewId="0">
      <selection activeCell="D89" sqref="D89:O120"/>
    </sheetView>
  </sheetViews>
  <sheetFormatPr baseColWidth="10" defaultColWidth="11.44140625" defaultRowHeight="13.2" x14ac:dyDescent="0.25"/>
  <cols>
    <col min="1" max="1" width="10.33203125" style="13" customWidth="1"/>
    <col min="2" max="2" width="5.33203125" style="13" customWidth="1"/>
    <col min="3" max="3" width="3.88671875" style="13" hidden="1" customWidth="1"/>
    <col min="4" max="5" width="4.6640625" style="214" customWidth="1"/>
    <col min="6" max="6" width="50.109375" style="13" customWidth="1"/>
    <col min="7" max="7" width="42.6640625" style="13" customWidth="1"/>
    <col min="8" max="8" width="6.5546875" style="13" customWidth="1"/>
    <col min="9" max="9" width="13.33203125" style="13" bestFit="1" customWidth="1"/>
    <col min="10" max="10" width="14.6640625" style="13" bestFit="1" customWidth="1"/>
    <col min="11" max="11" width="12" style="42" bestFit="1" customWidth="1"/>
    <col min="12" max="12" width="12" style="13" bestFit="1" customWidth="1"/>
    <col min="13" max="13" width="11.33203125" style="13" hidden="1" customWidth="1"/>
    <col min="14" max="14" width="14.6640625" style="13" bestFit="1" customWidth="1"/>
    <col min="15" max="15" width="58.109375" style="13" customWidth="1"/>
    <col min="16" max="17" width="11.44140625" style="13"/>
    <col min="18" max="18" width="12.88671875" style="13" bestFit="1" customWidth="1"/>
    <col min="19" max="16384" width="11.44140625" style="13"/>
  </cols>
  <sheetData>
    <row r="2" spans="4:19" x14ac:dyDescent="0.25">
      <c r="D2" s="202"/>
      <c r="E2" s="215"/>
      <c r="F2" s="38"/>
      <c r="G2" s="38"/>
      <c r="H2" s="38"/>
      <c r="I2" s="38"/>
      <c r="J2" s="38"/>
      <c r="K2" s="219"/>
      <c r="L2" s="38"/>
      <c r="M2" s="38"/>
      <c r="N2" s="38"/>
      <c r="O2" s="39"/>
      <c r="R2" s="42"/>
    </row>
    <row r="3" spans="4:19" ht="18" customHeight="1" x14ac:dyDescent="0.3">
      <c r="D3" s="548" t="s">
        <v>12</v>
      </c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9"/>
      <c r="R3" s="42"/>
    </row>
    <row r="4" spans="4:19" ht="18" customHeight="1" x14ac:dyDescent="0.3">
      <c r="D4" s="548" t="s">
        <v>139</v>
      </c>
      <c r="E4" s="543"/>
      <c r="F4" s="543"/>
      <c r="G4" s="543"/>
      <c r="H4" s="543"/>
      <c r="I4" s="543"/>
      <c r="J4" s="543"/>
      <c r="K4" s="543"/>
      <c r="L4" s="543"/>
      <c r="M4" s="543"/>
      <c r="N4" s="543"/>
      <c r="O4" s="549"/>
      <c r="R4" s="42"/>
    </row>
    <row r="5" spans="4:19" ht="18" customHeight="1" x14ac:dyDescent="0.3">
      <c r="D5" s="548" t="s">
        <v>474</v>
      </c>
      <c r="E5" s="543"/>
      <c r="F5" s="543"/>
      <c r="G5" s="543"/>
      <c r="H5" s="543"/>
      <c r="I5" s="543"/>
      <c r="J5" s="543"/>
      <c r="K5" s="543"/>
      <c r="L5" s="543"/>
      <c r="M5" s="543"/>
      <c r="N5" s="543"/>
      <c r="O5" s="549"/>
      <c r="R5" s="42"/>
    </row>
    <row r="6" spans="4:19" ht="18" customHeight="1" x14ac:dyDescent="0.3">
      <c r="D6" s="548" t="s">
        <v>123</v>
      </c>
      <c r="E6" s="543"/>
      <c r="F6" s="543"/>
      <c r="G6" s="543"/>
      <c r="H6" s="543"/>
      <c r="I6" s="543"/>
      <c r="J6" s="543"/>
      <c r="K6" s="543"/>
      <c r="L6" s="543"/>
      <c r="M6" s="543"/>
      <c r="N6" s="543"/>
      <c r="O6" s="549"/>
    </row>
    <row r="7" spans="4:19" x14ac:dyDescent="0.25">
      <c r="D7" s="303"/>
      <c r="E7" s="303" t="s">
        <v>208</v>
      </c>
      <c r="F7" s="304"/>
      <c r="G7" s="304"/>
      <c r="H7" s="296" t="s">
        <v>4</v>
      </c>
      <c r="I7" s="305"/>
      <c r="J7" s="544" t="s">
        <v>122</v>
      </c>
      <c r="K7" s="545"/>
      <c r="L7" s="544"/>
      <c r="M7" s="546"/>
      <c r="N7" s="546"/>
      <c r="O7" s="296"/>
    </row>
    <row r="8" spans="4:19" ht="12.75" customHeight="1" x14ac:dyDescent="0.25">
      <c r="D8" s="306" t="s">
        <v>3</v>
      </c>
      <c r="E8" s="306" t="s">
        <v>209</v>
      </c>
      <c r="F8" s="291"/>
      <c r="G8" s="291"/>
      <c r="H8" s="295" t="s">
        <v>5</v>
      </c>
      <c r="I8" s="296" t="s">
        <v>1</v>
      </c>
      <c r="J8" s="296" t="s">
        <v>125</v>
      </c>
      <c r="K8" s="307" t="s">
        <v>129</v>
      </c>
      <c r="L8" s="297"/>
      <c r="M8" s="297" t="s">
        <v>144</v>
      </c>
      <c r="N8" s="297" t="s">
        <v>128</v>
      </c>
      <c r="O8" s="291" t="s">
        <v>133</v>
      </c>
    </row>
    <row r="9" spans="4:19" ht="13.8" x14ac:dyDescent="0.25">
      <c r="D9" s="308"/>
      <c r="E9" s="306"/>
      <c r="F9" s="299"/>
      <c r="G9" s="299" t="s">
        <v>10</v>
      </c>
      <c r="H9" s="291"/>
      <c r="I9" s="291" t="s">
        <v>7</v>
      </c>
      <c r="J9" s="291" t="s">
        <v>128</v>
      </c>
      <c r="K9" s="309" t="s">
        <v>130</v>
      </c>
      <c r="L9" s="296" t="s">
        <v>131</v>
      </c>
      <c r="M9" s="296" t="s">
        <v>145</v>
      </c>
      <c r="N9" s="296" t="s">
        <v>134</v>
      </c>
      <c r="O9" s="291"/>
    </row>
    <row r="10" spans="4:19" ht="13.8" x14ac:dyDescent="0.25">
      <c r="D10" s="310"/>
      <c r="E10" s="310"/>
      <c r="F10" s="301" t="s">
        <v>13</v>
      </c>
      <c r="G10" s="301" t="s">
        <v>9</v>
      </c>
      <c r="H10" s="297"/>
      <c r="I10" s="297"/>
      <c r="J10" s="297"/>
      <c r="K10" s="311"/>
      <c r="L10" s="297"/>
      <c r="M10" s="297"/>
      <c r="N10" s="297"/>
      <c r="O10" s="297"/>
    </row>
    <row r="11" spans="4:19" s="16" customFormat="1" ht="15.6" x14ac:dyDescent="0.3">
      <c r="D11" s="203"/>
      <c r="E11" s="203"/>
      <c r="F11" s="86" t="s">
        <v>19</v>
      </c>
      <c r="G11" s="86"/>
      <c r="H11" s="86"/>
      <c r="I11" s="86"/>
      <c r="J11" s="86"/>
      <c r="K11" s="220"/>
      <c r="L11" s="86"/>
      <c r="M11" s="86"/>
      <c r="N11" s="86"/>
      <c r="O11" s="14"/>
    </row>
    <row r="12" spans="4:19" ht="32.1" customHeight="1" x14ac:dyDescent="0.25">
      <c r="D12" s="209" t="s">
        <v>469</v>
      </c>
      <c r="E12" s="209" t="s">
        <v>214</v>
      </c>
      <c r="F12" s="95" t="s">
        <v>308</v>
      </c>
      <c r="G12" s="95" t="s">
        <v>309</v>
      </c>
      <c r="H12" s="94">
        <v>15</v>
      </c>
      <c r="I12" s="90">
        <v>22350</v>
      </c>
      <c r="J12" s="90">
        <v>22350</v>
      </c>
      <c r="K12" s="221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90">
        <f t="shared" ref="L12:L17" si="0"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4346.18</v>
      </c>
      <c r="M12" s="90">
        <v>0</v>
      </c>
      <c r="N12" s="90">
        <f>J12+K12-L12</f>
        <v>18003.82</v>
      </c>
      <c r="O12" s="17"/>
      <c r="P12" s="58">
        <f t="shared" ref="P12:P33" si="1">I12-L12</f>
        <v>18003.82</v>
      </c>
      <c r="R12" s="42"/>
      <c r="S12" s="43"/>
    </row>
    <row r="13" spans="4:19" ht="32.1" hidden="1" customHeight="1" x14ac:dyDescent="0.25">
      <c r="D13" s="209"/>
      <c r="E13" s="209"/>
      <c r="F13" s="95"/>
      <c r="G13" s="262"/>
      <c r="H13" s="94"/>
      <c r="I13" s="90">
        <v>21811</v>
      </c>
      <c r="J13" s="90">
        <v>21811</v>
      </c>
      <c r="K13" s="221"/>
      <c r="L13" s="90">
        <f t="shared" si="0"/>
        <v>0</v>
      </c>
      <c r="M13" s="90"/>
      <c r="N13" s="90"/>
      <c r="O13" s="17"/>
      <c r="P13" s="58">
        <f t="shared" si="1"/>
        <v>21811</v>
      </c>
      <c r="R13" s="42"/>
      <c r="S13" s="43"/>
    </row>
    <row r="14" spans="4:19" ht="32.1" customHeight="1" x14ac:dyDescent="0.25">
      <c r="D14" s="209"/>
      <c r="E14" s="209" t="s">
        <v>450</v>
      </c>
      <c r="F14" s="95" t="s">
        <v>317</v>
      </c>
      <c r="G14" s="95" t="s">
        <v>288</v>
      </c>
      <c r="H14" s="276">
        <v>15</v>
      </c>
      <c r="I14" s="90">
        <v>9905</v>
      </c>
      <c r="J14" s="90">
        <v>9905</v>
      </c>
      <c r="K14" s="221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90">
        <f t="shared" si="0"/>
        <v>1404.61</v>
      </c>
      <c r="M14" s="90"/>
      <c r="N14" s="90">
        <f>J14+K14-L14</f>
        <v>8500.39</v>
      </c>
      <c r="O14" s="17"/>
      <c r="P14" s="58">
        <f t="shared" si="1"/>
        <v>8500.39</v>
      </c>
      <c r="R14" s="42"/>
      <c r="S14" s="43"/>
    </row>
    <row r="15" spans="4:19" ht="32.1" customHeight="1" x14ac:dyDescent="0.3">
      <c r="D15" s="209"/>
      <c r="E15" s="209"/>
      <c r="F15" s="97" t="s">
        <v>313</v>
      </c>
      <c r="G15" s="95"/>
      <c r="H15" s="269"/>
      <c r="I15" s="270"/>
      <c r="J15" s="270"/>
      <c r="K15" s="221"/>
      <c r="L15" s="90"/>
      <c r="M15" s="90"/>
      <c r="N15" s="90"/>
      <c r="O15" s="17"/>
      <c r="P15" s="58">
        <f t="shared" si="1"/>
        <v>0</v>
      </c>
      <c r="R15" s="42"/>
      <c r="S15" s="43"/>
    </row>
    <row r="16" spans="4:19" ht="32.1" customHeight="1" x14ac:dyDescent="0.25">
      <c r="D16" s="209" t="s">
        <v>471</v>
      </c>
      <c r="E16" s="209" t="s">
        <v>214</v>
      </c>
      <c r="F16" s="95" t="s">
        <v>314</v>
      </c>
      <c r="G16" s="95" t="s">
        <v>297</v>
      </c>
      <c r="H16" s="269">
        <v>15</v>
      </c>
      <c r="I16" s="270">
        <v>9905</v>
      </c>
      <c r="J16" s="270">
        <v>9905</v>
      </c>
      <c r="K16" s="221"/>
      <c r="L16" s="90">
        <f t="shared" si="0"/>
        <v>1404.61</v>
      </c>
      <c r="M16" s="90"/>
      <c r="N16" s="90">
        <f>J16+K16-L16</f>
        <v>8500.39</v>
      </c>
      <c r="O16" s="17"/>
      <c r="P16" s="58">
        <f t="shared" si="1"/>
        <v>8500.39</v>
      </c>
      <c r="R16" s="42"/>
      <c r="S16" s="43"/>
    </row>
    <row r="17" spans="4:19" ht="32.1" customHeight="1" x14ac:dyDescent="0.25">
      <c r="D17" s="209" t="s">
        <v>220</v>
      </c>
      <c r="E17" s="209" t="s">
        <v>450</v>
      </c>
      <c r="F17" s="95" t="s">
        <v>104</v>
      </c>
      <c r="G17" s="277" t="s">
        <v>455</v>
      </c>
      <c r="H17" s="127">
        <v>15</v>
      </c>
      <c r="I17" s="89">
        <v>3908</v>
      </c>
      <c r="J17" s="89">
        <v>3908</v>
      </c>
      <c r="K17" s="221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90">
        <f t="shared" si="0"/>
        <v>290</v>
      </c>
      <c r="M17" s="90">
        <v>0</v>
      </c>
      <c r="N17" s="90">
        <f>J17+K17-L17</f>
        <v>3618</v>
      </c>
      <c r="O17" s="17"/>
      <c r="P17" s="58">
        <f t="shared" si="1"/>
        <v>3618</v>
      </c>
      <c r="R17" s="42"/>
      <c r="S17" s="43"/>
    </row>
    <row r="18" spans="4:19" ht="32.1" customHeight="1" x14ac:dyDescent="0.3">
      <c r="D18" s="209"/>
      <c r="E18" s="209"/>
      <c r="F18" s="97" t="s">
        <v>115</v>
      </c>
      <c r="G18" s="278"/>
      <c r="H18" s="279"/>
      <c r="I18" s="280"/>
      <c r="J18" s="281"/>
      <c r="K18" s="282"/>
      <c r="L18" s="91"/>
      <c r="M18" s="90"/>
      <c r="N18" s="90"/>
      <c r="O18" s="17"/>
      <c r="P18" s="58">
        <f t="shared" si="1"/>
        <v>0</v>
      </c>
      <c r="R18" s="42"/>
      <c r="S18" s="43"/>
    </row>
    <row r="19" spans="4:19" ht="32.1" customHeight="1" x14ac:dyDescent="0.25">
      <c r="D19" s="209" t="s">
        <v>472</v>
      </c>
      <c r="E19" s="209" t="s">
        <v>450</v>
      </c>
      <c r="F19" s="95" t="s">
        <v>315</v>
      </c>
      <c r="G19" s="95" t="s">
        <v>18</v>
      </c>
      <c r="H19" s="94">
        <v>15</v>
      </c>
      <c r="I19" s="90">
        <v>10160</v>
      </c>
      <c r="J19" s="90">
        <v>10160</v>
      </c>
      <c r="K19" s="221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90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1459.08</v>
      </c>
      <c r="M19" s="90">
        <v>0</v>
      </c>
      <c r="N19" s="90">
        <f>J19+K19-L19</f>
        <v>8700.92</v>
      </c>
      <c r="O19" s="17"/>
      <c r="P19" s="58">
        <f t="shared" si="1"/>
        <v>8700.92</v>
      </c>
      <c r="R19" s="42"/>
      <c r="S19" s="43"/>
    </row>
    <row r="20" spans="4:19" ht="32.1" customHeight="1" x14ac:dyDescent="0.25">
      <c r="D20" s="209" t="s">
        <v>211</v>
      </c>
      <c r="E20" s="209" t="s">
        <v>450</v>
      </c>
      <c r="F20" s="95" t="s">
        <v>14</v>
      </c>
      <c r="G20" s="95" t="s">
        <v>15</v>
      </c>
      <c r="H20" s="94">
        <v>15</v>
      </c>
      <c r="I20" s="90">
        <v>4144</v>
      </c>
      <c r="J20" s="90">
        <v>4144</v>
      </c>
      <c r="K20" s="221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90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315.68</v>
      </c>
      <c r="M20" s="90">
        <v>0</v>
      </c>
      <c r="N20" s="90">
        <f>J20+K20-L20</f>
        <v>3828.32</v>
      </c>
      <c r="O20" s="17"/>
      <c r="P20" s="58">
        <f t="shared" si="1"/>
        <v>3828.32</v>
      </c>
      <c r="R20" s="42"/>
      <c r="S20" s="43"/>
    </row>
    <row r="21" spans="4:19" ht="32.1" customHeight="1" x14ac:dyDescent="0.25">
      <c r="D21" s="209" t="s">
        <v>212</v>
      </c>
      <c r="E21" s="209" t="s">
        <v>450</v>
      </c>
      <c r="F21" s="95" t="s">
        <v>50</v>
      </c>
      <c r="G21" s="95" t="s">
        <v>62</v>
      </c>
      <c r="H21" s="94">
        <v>15</v>
      </c>
      <c r="I21" s="90">
        <v>4144</v>
      </c>
      <c r="J21" s="90">
        <v>4144</v>
      </c>
      <c r="K21" s="221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90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315.68</v>
      </c>
      <c r="M21" s="90">
        <v>0</v>
      </c>
      <c r="N21" s="90">
        <f>J21+K21-L21</f>
        <v>3828.32</v>
      </c>
      <c r="O21" s="17"/>
      <c r="P21" s="58">
        <f t="shared" si="1"/>
        <v>3828.32</v>
      </c>
      <c r="R21" s="42"/>
      <c r="S21" s="43"/>
    </row>
    <row r="22" spans="4:19" ht="32.1" customHeight="1" x14ac:dyDescent="0.3">
      <c r="D22" s="209"/>
      <c r="E22" s="209"/>
      <c r="F22" s="97" t="s">
        <v>20</v>
      </c>
      <c r="G22" s="95"/>
      <c r="H22" s="94"/>
      <c r="I22" s="90"/>
      <c r="J22" s="90"/>
      <c r="K22" s="221"/>
      <c r="L22" s="90"/>
      <c r="M22" s="90"/>
      <c r="N22" s="90"/>
      <c r="O22" s="17"/>
      <c r="P22" s="58">
        <f t="shared" si="1"/>
        <v>0</v>
      </c>
      <c r="R22" s="42"/>
      <c r="S22" s="43"/>
    </row>
    <row r="23" spans="4:19" ht="32.1" customHeight="1" x14ac:dyDescent="0.25">
      <c r="D23" s="209" t="s">
        <v>473</v>
      </c>
      <c r="E23" s="209" t="s">
        <v>450</v>
      </c>
      <c r="F23" s="95" t="s">
        <v>351</v>
      </c>
      <c r="G23" s="95" t="s">
        <v>352</v>
      </c>
      <c r="H23" s="94">
        <v>15</v>
      </c>
      <c r="I23" s="89">
        <v>5027</v>
      </c>
      <c r="J23" s="89">
        <v>5027</v>
      </c>
      <c r="K23" s="221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90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426.24</v>
      </c>
      <c r="M23" s="90">
        <v>0</v>
      </c>
      <c r="N23" s="90">
        <f>J23+K23-L23</f>
        <v>4600.76</v>
      </c>
      <c r="O23" s="17"/>
      <c r="P23" s="58">
        <f t="shared" si="1"/>
        <v>4600.76</v>
      </c>
      <c r="R23" s="42"/>
      <c r="S23" s="43"/>
    </row>
    <row r="24" spans="4:19" ht="32.1" customHeight="1" x14ac:dyDescent="0.25">
      <c r="D24" s="209" t="s">
        <v>218</v>
      </c>
      <c r="E24" s="209" t="s">
        <v>450</v>
      </c>
      <c r="F24" s="95" t="s">
        <v>21</v>
      </c>
      <c r="G24" s="262" t="s">
        <v>164</v>
      </c>
      <c r="H24" s="94">
        <v>15</v>
      </c>
      <c r="I24" s="90">
        <v>4383</v>
      </c>
      <c r="J24" s="90">
        <v>4383</v>
      </c>
      <c r="K24" s="221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90">
        <v>339.88</v>
      </c>
      <c r="M24" s="90">
        <v>0</v>
      </c>
      <c r="N24" s="90">
        <f>J24+K24-L24</f>
        <v>4043.12</v>
      </c>
      <c r="O24" s="17"/>
      <c r="P24" s="58">
        <f t="shared" si="1"/>
        <v>4043.12</v>
      </c>
      <c r="R24" s="42"/>
      <c r="S24" s="43"/>
    </row>
    <row r="25" spans="4:19" ht="32.1" customHeight="1" x14ac:dyDescent="0.3">
      <c r="D25" s="209"/>
      <c r="E25" s="209"/>
      <c r="F25" s="97" t="s">
        <v>82</v>
      </c>
      <c r="G25" s="95"/>
      <c r="H25" s="94"/>
      <c r="I25" s="90"/>
      <c r="J25" s="90"/>
      <c r="K25" s="221"/>
      <c r="L25" s="90"/>
      <c r="M25" s="90"/>
      <c r="N25" s="90"/>
      <c r="O25" s="17"/>
      <c r="P25" s="58">
        <f t="shared" si="1"/>
        <v>0</v>
      </c>
      <c r="R25" s="42"/>
      <c r="S25" s="43"/>
    </row>
    <row r="26" spans="4:19" ht="32.1" customHeight="1" x14ac:dyDescent="0.25">
      <c r="D26" s="209" t="s">
        <v>213</v>
      </c>
      <c r="E26" s="209" t="s">
        <v>450</v>
      </c>
      <c r="F26" s="95" t="s">
        <v>107</v>
      </c>
      <c r="G26" s="95" t="s">
        <v>456</v>
      </c>
      <c r="H26" s="94">
        <v>15</v>
      </c>
      <c r="I26" s="90">
        <v>3908</v>
      </c>
      <c r="J26" s="90">
        <v>3908</v>
      </c>
      <c r="K26" s="221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90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90">
        <v>0</v>
      </c>
      <c r="N26" s="90">
        <f>J26+K26-L26</f>
        <v>3618</v>
      </c>
      <c r="O26" s="17"/>
      <c r="P26" s="58">
        <f t="shared" si="1"/>
        <v>3618</v>
      </c>
      <c r="R26" s="42"/>
      <c r="S26" s="43"/>
    </row>
    <row r="27" spans="4:19" ht="32.1" customHeight="1" x14ac:dyDescent="0.3">
      <c r="D27" s="209"/>
      <c r="E27" s="209"/>
      <c r="F27" s="97" t="s">
        <v>343</v>
      </c>
      <c r="G27" s="95"/>
      <c r="H27" s="94"/>
      <c r="I27" s="90"/>
      <c r="J27" s="90"/>
      <c r="K27" s="221"/>
      <c r="L27" s="90"/>
      <c r="M27" s="90"/>
      <c r="N27" s="90"/>
      <c r="O27" s="17"/>
      <c r="P27" s="58"/>
      <c r="R27" s="42"/>
      <c r="S27" s="43"/>
    </row>
    <row r="28" spans="4:19" ht="32.1" customHeight="1" x14ac:dyDescent="0.25">
      <c r="D28" s="209" t="s">
        <v>470</v>
      </c>
      <c r="E28" s="209" t="s">
        <v>450</v>
      </c>
      <c r="F28" s="95" t="s">
        <v>312</v>
      </c>
      <c r="G28" s="95" t="s">
        <v>457</v>
      </c>
      <c r="H28" s="94">
        <v>15</v>
      </c>
      <c r="I28" s="90">
        <v>6726</v>
      </c>
      <c r="J28" s="90">
        <v>6726</v>
      </c>
      <c r="K28" s="221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0</v>
      </c>
      <c r="L28" s="90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725.57</v>
      </c>
      <c r="M28" s="90">
        <v>0</v>
      </c>
      <c r="N28" s="90">
        <f t="shared" ref="N28" si="2">J28+K28-L28</f>
        <v>6000.43</v>
      </c>
      <c r="O28" s="17"/>
      <c r="P28" s="58"/>
      <c r="R28" s="42"/>
      <c r="S28" s="43"/>
    </row>
    <row r="29" spans="4:19" ht="32.1" customHeight="1" x14ac:dyDescent="0.3">
      <c r="D29" s="209"/>
      <c r="E29" s="209"/>
      <c r="F29" s="97" t="s">
        <v>399</v>
      </c>
      <c r="G29" s="95"/>
      <c r="H29" s="94"/>
      <c r="I29" s="90"/>
      <c r="J29" s="90"/>
      <c r="K29" s="221"/>
      <c r="L29" s="90"/>
      <c r="M29" s="90"/>
      <c r="N29" s="90"/>
      <c r="O29" s="17"/>
      <c r="P29" s="58">
        <f t="shared" si="1"/>
        <v>0</v>
      </c>
      <c r="R29" s="42"/>
      <c r="S29" s="43"/>
    </row>
    <row r="30" spans="4:19" ht="32.1" customHeight="1" x14ac:dyDescent="0.25">
      <c r="D30" s="209" t="s">
        <v>215</v>
      </c>
      <c r="E30" s="209" t="s">
        <v>450</v>
      </c>
      <c r="F30" s="95" t="s">
        <v>117</v>
      </c>
      <c r="G30" s="95" t="s">
        <v>442</v>
      </c>
      <c r="H30" s="94">
        <v>15</v>
      </c>
      <c r="I30" s="90">
        <v>3908</v>
      </c>
      <c r="J30" s="90">
        <v>3908</v>
      </c>
      <c r="K30" s="221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90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</v>
      </c>
      <c r="M30" s="90">
        <v>0</v>
      </c>
      <c r="N30" s="90">
        <f>J30+K30-L30</f>
        <v>3618</v>
      </c>
      <c r="O30" s="17"/>
      <c r="P30" s="58">
        <f t="shared" si="1"/>
        <v>3618</v>
      </c>
      <c r="R30" s="42"/>
      <c r="S30" s="43"/>
    </row>
    <row r="31" spans="4:19" ht="32.1" customHeight="1" x14ac:dyDescent="0.25">
      <c r="D31" s="209" t="s">
        <v>216</v>
      </c>
      <c r="E31" s="209" t="s">
        <v>450</v>
      </c>
      <c r="F31" s="95" t="s">
        <v>108</v>
      </c>
      <c r="G31" s="95" t="s">
        <v>109</v>
      </c>
      <c r="H31" s="94">
        <v>15</v>
      </c>
      <c r="I31" s="89">
        <v>2592</v>
      </c>
      <c r="J31" s="278">
        <v>2592</v>
      </c>
      <c r="K31" s="221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8.66</v>
      </c>
      <c r="L31" s="90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89">
        <v>0</v>
      </c>
      <c r="N31" s="90">
        <f>J31+K31-L31</f>
        <v>2600.66</v>
      </c>
      <c r="O31" s="17"/>
      <c r="P31" s="58">
        <f t="shared" si="1"/>
        <v>2592</v>
      </c>
      <c r="R31" s="42"/>
      <c r="S31" s="43"/>
    </row>
    <row r="32" spans="4:19" ht="32.1" customHeight="1" x14ac:dyDescent="0.25">
      <c r="D32" s="209" t="s">
        <v>217</v>
      </c>
      <c r="E32" s="209" t="s">
        <v>214</v>
      </c>
      <c r="F32" s="95" t="s">
        <v>16</v>
      </c>
      <c r="G32" s="95" t="s">
        <v>17</v>
      </c>
      <c r="H32" s="94">
        <v>15</v>
      </c>
      <c r="I32" s="89">
        <v>2830</v>
      </c>
      <c r="J32" s="278">
        <v>2830</v>
      </c>
      <c r="K32" s="221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90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27.34</v>
      </c>
      <c r="M32" s="89">
        <v>0</v>
      </c>
      <c r="N32" s="90">
        <f>J32+K32-L32</f>
        <v>2802.66</v>
      </c>
      <c r="O32" s="17"/>
      <c r="P32" s="58">
        <f t="shared" si="1"/>
        <v>2802.66</v>
      </c>
      <c r="R32" s="42"/>
      <c r="S32" s="43"/>
    </row>
    <row r="33" spans="2:19" ht="32.1" customHeight="1" x14ac:dyDescent="0.3">
      <c r="D33" s="209"/>
      <c r="E33" s="209"/>
      <c r="F33" s="97" t="s">
        <v>174</v>
      </c>
      <c r="G33" s="95"/>
      <c r="H33" s="94"/>
      <c r="I33" s="90"/>
      <c r="J33" s="90"/>
      <c r="K33" s="221"/>
      <c r="L33" s="90"/>
      <c r="M33" s="90"/>
      <c r="N33" s="90"/>
      <c r="O33" s="17"/>
      <c r="P33" s="58">
        <f t="shared" si="1"/>
        <v>0</v>
      </c>
      <c r="R33" s="42"/>
      <c r="S33" s="43"/>
    </row>
    <row r="34" spans="2:19" ht="32.1" customHeight="1" x14ac:dyDescent="0.25">
      <c r="D34" s="209" t="s">
        <v>219</v>
      </c>
      <c r="E34" s="209" t="s">
        <v>450</v>
      </c>
      <c r="F34" s="95" t="s">
        <v>70</v>
      </c>
      <c r="G34" s="262" t="s">
        <v>175</v>
      </c>
      <c r="H34" s="94">
        <v>15</v>
      </c>
      <c r="I34" s="90">
        <v>5868</v>
      </c>
      <c r="J34" s="90">
        <v>5868</v>
      </c>
      <c r="K34" s="221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90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567.58000000000004</v>
      </c>
      <c r="M34" s="90">
        <v>0</v>
      </c>
      <c r="N34" s="90">
        <f>J34+K34-L34</f>
        <v>5300.42</v>
      </c>
      <c r="O34" s="17"/>
      <c r="P34" s="58">
        <f>I34-L34</f>
        <v>5300.42</v>
      </c>
      <c r="R34" s="42"/>
      <c r="S34" s="43"/>
    </row>
    <row r="35" spans="2:19" ht="24.9" customHeight="1" x14ac:dyDescent="0.25">
      <c r="D35" s="205"/>
      <c r="E35" s="216"/>
      <c r="F35" s="68"/>
      <c r="G35" s="68"/>
      <c r="H35" s="67"/>
      <c r="I35" s="69">
        <f>I34+I32+I31+I30+I28+I26+I24+I23+I21+I20+I19+I17+I16+I14+I12</f>
        <v>99758</v>
      </c>
      <c r="J35" s="69">
        <f t="shared" ref="J35:N35" si="3">J34+J32+J31+J30+J28+J26+J24+J23+J21+J20+J19+J17+J16+J14+J12</f>
        <v>99758</v>
      </c>
      <c r="K35" s="69">
        <f t="shared" si="3"/>
        <v>8.66</v>
      </c>
      <c r="L35" s="69">
        <f t="shared" si="3"/>
        <v>12202.45</v>
      </c>
      <c r="M35" s="69">
        <f t="shared" si="3"/>
        <v>0</v>
      </c>
      <c r="N35" s="69">
        <f t="shared" si="3"/>
        <v>87564.209999999992</v>
      </c>
      <c r="O35" s="70"/>
      <c r="P35" s="58">
        <f>SUM(P12:P34)</f>
        <v>103366.12000000001</v>
      </c>
      <c r="R35" s="42"/>
      <c r="S35" s="43"/>
    </row>
    <row r="36" spans="2:19" ht="24.9" customHeight="1" x14ac:dyDescent="0.25">
      <c r="D36" s="443"/>
      <c r="E36" s="443"/>
      <c r="F36" s="444"/>
      <c r="G36" s="444"/>
      <c r="H36" s="61"/>
      <c r="I36" s="69"/>
      <c r="J36" s="69"/>
      <c r="K36" s="69"/>
      <c r="L36" s="69"/>
      <c r="M36" s="69"/>
      <c r="N36" s="69"/>
      <c r="O36" s="69"/>
      <c r="P36" s="58"/>
      <c r="R36" s="42"/>
      <c r="S36" s="43"/>
    </row>
    <row r="37" spans="2:19" ht="21.9" customHeight="1" x14ac:dyDescent="0.3">
      <c r="B37" s="34"/>
      <c r="C37" s="34"/>
      <c r="D37" s="543" t="s">
        <v>12</v>
      </c>
      <c r="E37" s="543"/>
      <c r="F37" s="543"/>
      <c r="G37" s="543"/>
      <c r="H37" s="543"/>
      <c r="I37" s="543"/>
      <c r="J37" s="543"/>
      <c r="K37" s="543"/>
      <c r="L37" s="543"/>
      <c r="M37" s="543"/>
      <c r="N37" s="543"/>
      <c r="O37" s="543"/>
      <c r="R37" s="42"/>
      <c r="S37" s="43"/>
    </row>
    <row r="38" spans="2:19" ht="21.9" customHeight="1" x14ac:dyDescent="0.3">
      <c r="B38" s="34"/>
      <c r="C38" s="34"/>
      <c r="D38" s="543" t="s">
        <v>139</v>
      </c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3"/>
      <c r="P38" s="58"/>
      <c r="R38" s="42"/>
      <c r="S38" s="43"/>
    </row>
    <row r="39" spans="2:19" ht="21.9" customHeight="1" x14ac:dyDescent="0.3">
      <c r="B39" s="34"/>
      <c r="C39" s="34"/>
      <c r="D39" s="543" t="str">
        <f>D5</f>
        <v>NOMINA 2DA QUINCENA DE DICIEMBRE DE 2021</v>
      </c>
      <c r="E39" s="543"/>
      <c r="F39" s="543"/>
      <c r="G39" s="543"/>
      <c r="H39" s="543"/>
      <c r="I39" s="543"/>
      <c r="J39" s="543"/>
      <c r="K39" s="543"/>
      <c r="L39" s="543"/>
      <c r="M39" s="543"/>
      <c r="N39" s="543"/>
      <c r="O39" s="543"/>
      <c r="R39" s="42"/>
      <c r="S39" s="43"/>
    </row>
    <row r="40" spans="2:19" ht="21.9" customHeight="1" x14ac:dyDescent="0.3">
      <c r="B40" s="34"/>
      <c r="C40" s="34"/>
      <c r="D40" s="543" t="s">
        <v>123</v>
      </c>
      <c r="E40" s="543"/>
      <c r="F40" s="543"/>
      <c r="G40" s="543"/>
      <c r="H40" s="543"/>
      <c r="I40" s="543"/>
      <c r="J40" s="543"/>
      <c r="K40" s="543"/>
      <c r="L40" s="543"/>
      <c r="M40" s="543"/>
      <c r="N40" s="543"/>
      <c r="O40" s="543"/>
      <c r="R40" s="42"/>
      <c r="S40" s="43"/>
    </row>
    <row r="41" spans="2:19" ht="18.75" customHeight="1" x14ac:dyDescent="0.25">
      <c r="B41" s="34"/>
      <c r="C41" s="34"/>
      <c r="D41" s="303"/>
      <c r="E41" s="303" t="s">
        <v>208</v>
      </c>
      <c r="F41" s="304"/>
      <c r="G41" s="304"/>
      <c r="H41" s="296" t="s">
        <v>4</v>
      </c>
      <c r="I41" s="305"/>
      <c r="J41" s="544" t="s">
        <v>122</v>
      </c>
      <c r="K41" s="545"/>
      <c r="L41" s="544"/>
      <c r="M41" s="546"/>
      <c r="N41" s="546"/>
      <c r="O41" s="296"/>
      <c r="R41" s="42"/>
      <c r="S41" s="43"/>
    </row>
    <row r="42" spans="2:19" ht="12" customHeight="1" x14ac:dyDescent="0.25">
      <c r="B42" s="34"/>
      <c r="C42" s="34"/>
      <c r="D42" s="306" t="s">
        <v>3</v>
      </c>
      <c r="E42" s="306" t="s">
        <v>209</v>
      </c>
      <c r="F42" s="291"/>
      <c r="G42" s="291"/>
      <c r="H42" s="295" t="s">
        <v>5</v>
      </c>
      <c r="I42" s="296" t="s">
        <v>1</v>
      </c>
      <c r="J42" s="296" t="s">
        <v>125</v>
      </c>
      <c r="K42" s="307" t="s">
        <v>129</v>
      </c>
      <c r="L42" s="297"/>
      <c r="M42" s="297" t="s">
        <v>144</v>
      </c>
      <c r="N42" s="297" t="s">
        <v>128</v>
      </c>
      <c r="O42" s="291" t="s">
        <v>133</v>
      </c>
      <c r="R42" s="42"/>
      <c r="S42" s="43"/>
    </row>
    <row r="43" spans="2:19" ht="18.75" customHeight="1" x14ac:dyDescent="0.25">
      <c r="B43" s="34"/>
      <c r="C43" s="34"/>
      <c r="D43" s="308"/>
      <c r="E43" s="306"/>
      <c r="F43" s="299"/>
      <c r="G43" s="299" t="s">
        <v>10</v>
      </c>
      <c r="H43" s="291"/>
      <c r="I43" s="291" t="s">
        <v>7</v>
      </c>
      <c r="J43" s="291" t="s">
        <v>128</v>
      </c>
      <c r="K43" s="309" t="s">
        <v>130</v>
      </c>
      <c r="L43" s="296" t="s">
        <v>131</v>
      </c>
      <c r="M43" s="296" t="s">
        <v>145</v>
      </c>
      <c r="N43" s="296" t="s">
        <v>134</v>
      </c>
      <c r="O43" s="291"/>
      <c r="R43" s="42"/>
      <c r="S43" s="43"/>
    </row>
    <row r="44" spans="2:19" ht="14.25" customHeight="1" x14ac:dyDescent="0.25">
      <c r="B44" s="34"/>
      <c r="C44" s="34"/>
      <c r="D44" s="308"/>
      <c r="E44" s="306"/>
      <c r="F44" s="301" t="s">
        <v>13</v>
      </c>
      <c r="G44" s="301" t="s">
        <v>9</v>
      </c>
      <c r="H44" s="297"/>
      <c r="I44" s="297"/>
      <c r="J44" s="297"/>
      <c r="K44" s="311"/>
      <c r="L44" s="297"/>
      <c r="M44" s="297"/>
      <c r="N44" s="297"/>
      <c r="O44" s="297"/>
      <c r="R44" s="42"/>
      <c r="S44" s="43"/>
    </row>
    <row r="45" spans="2:19" ht="14.25" customHeight="1" x14ac:dyDescent="0.25">
      <c r="B45" s="34"/>
      <c r="C45" s="34"/>
      <c r="D45" s="308"/>
      <c r="E45" s="306"/>
      <c r="F45" s="312"/>
      <c r="G45" s="312"/>
      <c r="H45" s="291"/>
      <c r="I45" s="291"/>
      <c r="J45" s="291"/>
      <c r="K45" s="295"/>
      <c r="L45" s="291"/>
      <c r="M45" s="291"/>
      <c r="N45" s="291"/>
      <c r="O45" s="291"/>
      <c r="R45" s="42"/>
      <c r="S45" s="43"/>
    </row>
    <row r="46" spans="2:19" ht="36.9" customHeight="1" x14ac:dyDescent="0.3">
      <c r="B46" s="34"/>
      <c r="C46" s="34"/>
      <c r="D46" s="206"/>
      <c r="E46" s="206"/>
      <c r="F46" s="86" t="s">
        <v>157</v>
      </c>
      <c r="G46" s="86"/>
      <c r="H46" s="86"/>
      <c r="I46" s="86"/>
      <c r="J46" s="86"/>
      <c r="K46" s="220"/>
      <c r="L46" s="86"/>
      <c r="M46" s="86"/>
      <c r="N46" s="86"/>
      <c r="O46" s="14"/>
      <c r="R46" s="42"/>
      <c r="S46" s="43"/>
    </row>
    <row r="47" spans="2:19" ht="36.75" hidden="1" customHeight="1" x14ac:dyDescent="0.25">
      <c r="B47" s="34"/>
      <c r="C47" s="34"/>
      <c r="D47" s="207"/>
      <c r="E47" s="207"/>
      <c r="F47" s="125"/>
      <c r="G47" s="126"/>
      <c r="H47" s="127"/>
      <c r="I47" s="98"/>
      <c r="J47" s="90"/>
      <c r="K47" s="221"/>
      <c r="L47" s="90"/>
      <c r="M47" s="91"/>
      <c r="N47" s="90"/>
      <c r="O47" s="14"/>
      <c r="R47" s="42"/>
      <c r="S47" s="43"/>
    </row>
    <row r="48" spans="2:19" ht="36.75" customHeight="1" x14ac:dyDescent="0.25">
      <c r="B48" s="34"/>
      <c r="C48" s="34"/>
      <c r="D48" s="204"/>
      <c r="E48" s="209" t="s">
        <v>450</v>
      </c>
      <c r="F48" s="262" t="s">
        <v>342</v>
      </c>
      <c r="G48" s="262" t="s">
        <v>287</v>
      </c>
      <c r="H48" s="94">
        <v>15</v>
      </c>
      <c r="I48" s="90">
        <v>6726</v>
      </c>
      <c r="J48" s="90">
        <v>6726</v>
      </c>
      <c r="K48" s="221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90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725.57</v>
      </c>
      <c r="M48" s="90">
        <v>0</v>
      </c>
      <c r="N48" s="90">
        <f t="shared" ref="N48" si="4">J48+K48-L48</f>
        <v>6000.43</v>
      </c>
      <c r="O48" s="14"/>
      <c r="R48" s="42"/>
      <c r="S48" s="43"/>
    </row>
    <row r="49" spans="2:19" ht="36.9" customHeight="1" x14ac:dyDescent="0.3">
      <c r="D49" s="204"/>
      <c r="E49" s="209"/>
      <c r="F49" s="97" t="s">
        <v>22</v>
      </c>
      <c r="G49" s="95"/>
      <c r="H49" s="94"/>
      <c r="I49" s="90"/>
      <c r="J49" s="90"/>
      <c r="K49" s="221"/>
      <c r="L49" s="90"/>
      <c r="M49" s="90"/>
      <c r="N49" s="90"/>
      <c r="O49" s="17"/>
      <c r="R49" s="42"/>
      <c r="S49" s="43"/>
    </row>
    <row r="50" spans="2:19" ht="36.9" customHeight="1" x14ac:dyDescent="0.25">
      <c r="D50" s="204"/>
      <c r="E50" s="209" t="s">
        <v>214</v>
      </c>
      <c r="F50" s="95" t="s">
        <v>353</v>
      </c>
      <c r="G50" s="95" t="s">
        <v>23</v>
      </c>
      <c r="H50" s="94">
        <v>15</v>
      </c>
      <c r="I50" s="90">
        <v>17000</v>
      </c>
      <c r="J50" s="90">
        <v>17000</v>
      </c>
      <c r="K50" s="221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90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2999.66</v>
      </c>
      <c r="M50" s="90">
        <v>0</v>
      </c>
      <c r="N50" s="90">
        <f t="shared" ref="N50:N61" si="5">J50+K50-L50</f>
        <v>14000.34</v>
      </c>
      <c r="O50" s="17"/>
      <c r="R50" s="42"/>
      <c r="S50" s="43"/>
    </row>
    <row r="51" spans="2:19" ht="36.9" customHeight="1" x14ac:dyDescent="0.25">
      <c r="D51" s="204" t="s">
        <v>221</v>
      </c>
      <c r="E51" s="209" t="s">
        <v>450</v>
      </c>
      <c r="F51" s="95" t="s">
        <v>24</v>
      </c>
      <c r="G51" s="95" t="s">
        <v>15</v>
      </c>
      <c r="H51" s="94">
        <v>15</v>
      </c>
      <c r="I51" s="90">
        <v>4910</v>
      </c>
      <c r="J51" s="90">
        <v>4910</v>
      </c>
      <c r="K51" s="221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90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407.52</v>
      </c>
      <c r="M51" s="90">
        <v>0</v>
      </c>
      <c r="N51" s="90">
        <f t="shared" si="5"/>
        <v>4502.4799999999996</v>
      </c>
      <c r="O51" s="17"/>
      <c r="R51" s="42"/>
      <c r="S51" s="43"/>
    </row>
    <row r="52" spans="2:19" ht="36.9" customHeight="1" x14ac:dyDescent="0.25">
      <c r="D52" s="204" t="s">
        <v>222</v>
      </c>
      <c r="E52" s="209" t="s">
        <v>214</v>
      </c>
      <c r="F52" s="95" t="s">
        <v>83</v>
      </c>
      <c r="G52" s="95" t="s">
        <v>15</v>
      </c>
      <c r="H52" s="94">
        <v>15</v>
      </c>
      <c r="I52" s="89">
        <v>4910</v>
      </c>
      <c r="J52" s="89">
        <v>4910</v>
      </c>
      <c r="K52" s="221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90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407.52</v>
      </c>
      <c r="M52" s="90">
        <v>0</v>
      </c>
      <c r="N52" s="90">
        <f t="shared" si="5"/>
        <v>4502.4799999999996</v>
      </c>
      <c r="O52" s="17"/>
      <c r="R52" s="42"/>
      <c r="S52" s="43"/>
    </row>
    <row r="53" spans="2:19" ht="36.9" customHeight="1" x14ac:dyDescent="0.25">
      <c r="D53" s="204" t="s">
        <v>223</v>
      </c>
      <c r="E53" s="209" t="s">
        <v>450</v>
      </c>
      <c r="F53" s="95" t="s">
        <v>25</v>
      </c>
      <c r="G53" s="95" t="s">
        <v>15</v>
      </c>
      <c r="H53" s="94">
        <v>15</v>
      </c>
      <c r="I53" s="90">
        <v>4910</v>
      </c>
      <c r="J53" s="90">
        <v>4910</v>
      </c>
      <c r="K53" s="221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90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407.52</v>
      </c>
      <c r="M53" s="90">
        <v>0</v>
      </c>
      <c r="N53" s="90">
        <f t="shared" si="5"/>
        <v>4502.4799999999996</v>
      </c>
      <c r="O53" s="17"/>
      <c r="R53" s="42"/>
      <c r="S53" s="43"/>
    </row>
    <row r="54" spans="2:19" ht="36.9" customHeight="1" x14ac:dyDescent="0.3">
      <c r="D54" s="204"/>
      <c r="E54" s="209"/>
      <c r="F54" s="97" t="s">
        <v>77</v>
      </c>
      <c r="G54" s="95"/>
      <c r="H54" s="94"/>
      <c r="I54" s="90"/>
      <c r="J54" s="90"/>
      <c r="K54" s="221"/>
      <c r="L54" s="90"/>
      <c r="M54" s="90"/>
      <c r="N54" s="90"/>
      <c r="O54" s="17"/>
      <c r="R54" s="42"/>
      <c r="S54" s="43"/>
    </row>
    <row r="55" spans="2:19" ht="36.9" customHeight="1" x14ac:dyDescent="0.25">
      <c r="D55" s="204"/>
      <c r="E55" s="209" t="s">
        <v>450</v>
      </c>
      <c r="F55" s="95" t="s">
        <v>348</v>
      </c>
      <c r="G55" s="262" t="s">
        <v>350</v>
      </c>
      <c r="H55" s="94">
        <v>15</v>
      </c>
      <c r="I55" s="90">
        <v>3888</v>
      </c>
      <c r="J55" s="90">
        <v>3888</v>
      </c>
      <c r="K55" s="90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90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287.83</v>
      </c>
      <c r="M55" s="90">
        <v>0</v>
      </c>
      <c r="N55" s="90">
        <f t="shared" ref="N55" si="6">J55+K55-L55</f>
        <v>3600.17</v>
      </c>
      <c r="O55" s="17"/>
      <c r="R55" s="42"/>
      <c r="S55" s="43"/>
    </row>
    <row r="56" spans="2:19" ht="43.5" customHeight="1" x14ac:dyDescent="0.25">
      <c r="D56" s="204" t="s">
        <v>224</v>
      </c>
      <c r="E56" s="209" t="s">
        <v>450</v>
      </c>
      <c r="F56" s="95" t="s">
        <v>51</v>
      </c>
      <c r="G56" s="262" t="s">
        <v>153</v>
      </c>
      <c r="H56" s="94">
        <v>15</v>
      </c>
      <c r="I56" s="90">
        <v>4350</v>
      </c>
      <c r="J56" s="90">
        <v>4350</v>
      </c>
      <c r="K56" s="90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90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338.09</v>
      </c>
      <c r="M56" s="90">
        <v>0</v>
      </c>
      <c r="N56" s="90">
        <f t="shared" si="5"/>
        <v>4011.91</v>
      </c>
      <c r="O56" s="17"/>
      <c r="R56" s="42"/>
      <c r="S56" s="43"/>
    </row>
    <row r="57" spans="2:19" ht="36.9" customHeight="1" x14ac:dyDescent="0.3">
      <c r="D57" s="204"/>
      <c r="E57" s="209"/>
      <c r="F57" s="97" t="s">
        <v>26</v>
      </c>
      <c r="G57" s="95"/>
      <c r="H57" s="94"/>
      <c r="I57" s="90"/>
      <c r="J57" s="90"/>
      <c r="K57" s="221"/>
      <c r="L57" s="90"/>
      <c r="M57" s="90"/>
      <c r="N57" s="90"/>
      <c r="O57" s="17"/>
      <c r="R57" s="42"/>
      <c r="S57" s="43"/>
    </row>
    <row r="58" spans="2:19" ht="36.9" customHeight="1" x14ac:dyDescent="0.25">
      <c r="D58" s="204" t="s">
        <v>226</v>
      </c>
      <c r="E58" s="209" t="s">
        <v>450</v>
      </c>
      <c r="F58" s="95" t="s">
        <v>325</v>
      </c>
      <c r="G58" s="95" t="s">
        <v>27</v>
      </c>
      <c r="H58" s="94">
        <v>15</v>
      </c>
      <c r="I58" s="90">
        <v>8000</v>
      </c>
      <c r="J58" s="90">
        <v>8000</v>
      </c>
      <c r="K58" s="221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90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997.7</v>
      </c>
      <c r="M58" s="90">
        <v>0</v>
      </c>
      <c r="N58" s="90">
        <f t="shared" si="5"/>
        <v>7002.3</v>
      </c>
      <c r="O58" s="17"/>
      <c r="R58" s="42"/>
      <c r="S58" s="43"/>
    </row>
    <row r="59" spans="2:19" ht="36.9" customHeight="1" x14ac:dyDescent="0.25">
      <c r="D59" s="204" t="s">
        <v>225</v>
      </c>
      <c r="E59" s="209" t="s">
        <v>450</v>
      </c>
      <c r="F59" s="95" t="s">
        <v>71</v>
      </c>
      <c r="G59" s="95" t="s">
        <v>64</v>
      </c>
      <c r="H59" s="94">
        <v>15</v>
      </c>
      <c r="I59" s="90">
        <v>4696</v>
      </c>
      <c r="J59" s="90">
        <v>4696</v>
      </c>
      <c r="K59" s="221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90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375.74</v>
      </c>
      <c r="M59" s="90">
        <v>0</v>
      </c>
      <c r="N59" s="90">
        <f t="shared" si="5"/>
        <v>4320.26</v>
      </c>
      <c r="O59" s="17"/>
      <c r="R59" s="42"/>
      <c r="S59" s="43"/>
    </row>
    <row r="60" spans="2:19" ht="36.9" customHeight="1" x14ac:dyDescent="0.3">
      <c r="D60" s="204"/>
      <c r="E60" s="209"/>
      <c r="F60" s="97" t="s">
        <v>402</v>
      </c>
      <c r="G60" s="95"/>
      <c r="H60" s="94"/>
      <c r="I60" s="90"/>
      <c r="J60" s="90"/>
      <c r="K60" s="221"/>
      <c r="L60" s="90"/>
      <c r="M60" s="90"/>
      <c r="N60" s="90"/>
      <c r="O60" s="17"/>
      <c r="R60" s="42"/>
      <c r="S60" s="43"/>
    </row>
    <row r="61" spans="2:19" ht="36.9" customHeight="1" x14ac:dyDescent="0.25">
      <c r="D61" s="204"/>
      <c r="E61" s="209" t="s">
        <v>450</v>
      </c>
      <c r="F61" s="95" t="s">
        <v>323</v>
      </c>
      <c r="G61" s="283" t="s">
        <v>159</v>
      </c>
      <c r="H61" s="284">
        <v>15</v>
      </c>
      <c r="I61" s="90">
        <v>6112</v>
      </c>
      <c r="J61" s="90">
        <v>6112</v>
      </c>
      <c r="K61" s="221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90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611.29999999999995</v>
      </c>
      <c r="M61" s="17">
        <f t="shared" ref="M61" si="7">SUM(M48:M60)</f>
        <v>0</v>
      </c>
      <c r="N61" s="90">
        <f t="shared" si="5"/>
        <v>5500.7</v>
      </c>
      <c r="O61" s="17"/>
      <c r="R61" s="42"/>
      <c r="S61" s="43"/>
    </row>
    <row r="62" spans="2:19" s="16" customFormat="1" ht="36.9" customHeight="1" x14ac:dyDescent="0.25">
      <c r="D62" s="271"/>
      <c r="E62" s="271"/>
      <c r="F62" s="107"/>
      <c r="G62" s="272"/>
      <c r="H62" s="273"/>
      <c r="I62" s="110">
        <f>SUM(I48:I61)</f>
        <v>65502</v>
      </c>
      <c r="J62" s="110">
        <f t="shared" ref="J62:N62" si="8">SUM(J48:J61)</f>
        <v>65502</v>
      </c>
      <c r="K62" s="110">
        <f t="shared" si="8"/>
        <v>0</v>
      </c>
      <c r="L62" s="110">
        <f>SUM(L46:L61)</f>
        <v>7558.4500000000007</v>
      </c>
      <c r="M62" s="110">
        <f t="shared" si="8"/>
        <v>0</v>
      </c>
      <c r="N62" s="110">
        <f t="shared" si="8"/>
        <v>57943.549999999996</v>
      </c>
      <c r="O62" s="69"/>
      <c r="R62" s="274"/>
      <c r="S62" s="275"/>
    </row>
    <row r="63" spans="2:19" ht="21.9" customHeight="1" x14ac:dyDescent="0.35">
      <c r="B63" s="34"/>
      <c r="C63" s="34"/>
      <c r="D63" s="547" t="s">
        <v>12</v>
      </c>
      <c r="E63" s="547"/>
      <c r="F63" s="547"/>
      <c r="G63" s="547"/>
      <c r="H63" s="547"/>
      <c r="I63" s="547"/>
      <c r="J63" s="547"/>
      <c r="K63" s="547"/>
      <c r="L63" s="547"/>
      <c r="M63" s="547"/>
      <c r="N63" s="547"/>
      <c r="O63" s="547"/>
      <c r="R63" s="42"/>
      <c r="S63" s="43"/>
    </row>
    <row r="64" spans="2:19" ht="21.9" customHeight="1" x14ac:dyDescent="0.35">
      <c r="B64" s="34"/>
      <c r="C64" s="34"/>
      <c r="D64" s="547" t="s">
        <v>139</v>
      </c>
      <c r="E64" s="547"/>
      <c r="F64" s="547"/>
      <c r="G64" s="547"/>
      <c r="H64" s="547"/>
      <c r="I64" s="547"/>
      <c r="J64" s="547"/>
      <c r="K64" s="547"/>
      <c r="L64" s="547"/>
      <c r="M64" s="547"/>
      <c r="N64" s="547"/>
      <c r="O64" s="547"/>
      <c r="R64" s="42"/>
      <c r="S64" s="43"/>
    </row>
    <row r="65" spans="2:19" ht="21.9" customHeight="1" x14ac:dyDescent="0.35">
      <c r="B65" s="34"/>
      <c r="C65" s="34"/>
      <c r="D65" s="547" t="str">
        <f>D39</f>
        <v>NOMINA 2DA QUINCENA DE DICIEMBRE DE 2021</v>
      </c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R65" s="42"/>
      <c r="S65" s="43"/>
    </row>
    <row r="66" spans="2:19" ht="21.9" customHeight="1" x14ac:dyDescent="0.35">
      <c r="B66" s="34"/>
      <c r="C66" s="34"/>
      <c r="D66" s="547" t="s">
        <v>123</v>
      </c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R66" s="42"/>
      <c r="S66" s="43"/>
    </row>
    <row r="67" spans="2:19" ht="21.9" customHeight="1" x14ac:dyDescent="0.25">
      <c r="B67" s="34"/>
      <c r="C67" s="34"/>
      <c r="D67" s="303"/>
      <c r="E67" s="303" t="s">
        <v>208</v>
      </c>
      <c r="F67" s="304"/>
      <c r="G67" s="304"/>
      <c r="H67" s="296" t="s">
        <v>4</v>
      </c>
      <c r="I67" s="305"/>
      <c r="J67" s="544" t="s">
        <v>122</v>
      </c>
      <c r="K67" s="545"/>
      <c r="L67" s="544"/>
      <c r="M67" s="546"/>
      <c r="N67" s="546"/>
      <c r="O67" s="296"/>
      <c r="R67" s="42"/>
      <c r="S67" s="43"/>
    </row>
    <row r="68" spans="2:19" ht="18.75" customHeight="1" x14ac:dyDescent="0.25">
      <c r="B68" s="34"/>
      <c r="C68" s="34"/>
      <c r="D68" s="306" t="s">
        <v>3</v>
      </c>
      <c r="E68" s="306" t="s">
        <v>209</v>
      </c>
      <c r="F68" s="291"/>
      <c r="G68" s="291"/>
      <c r="H68" s="295" t="s">
        <v>5</v>
      </c>
      <c r="I68" s="296" t="s">
        <v>1</v>
      </c>
      <c r="J68" s="296" t="s">
        <v>125</v>
      </c>
      <c r="K68" s="307" t="s">
        <v>129</v>
      </c>
      <c r="L68" s="297"/>
      <c r="M68" s="297" t="s">
        <v>143</v>
      </c>
      <c r="N68" s="297" t="s">
        <v>128</v>
      </c>
      <c r="O68" s="291" t="s">
        <v>133</v>
      </c>
      <c r="R68" s="42"/>
      <c r="S68" s="43"/>
    </row>
    <row r="69" spans="2:19" ht="21.9" customHeight="1" x14ac:dyDescent="0.25">
      <c r="B69" s="34"/>
      <c r="C69" s="34"/>
      <c r="D69" s="308"/>
      <c r="E69" s="306"/>
      <c r="F69" s="299"/>
      <c r="G69" s="299" t="s">
        <v>10</v>
      </c>
      <c r="H69" s="291"/>
      <c r="I69" s="291" t="s">
        <v>7</v>
      </c>
      <c r="J69" s="291" t="s">
        <v>128</v>
      </c>
      <c r="K69" s="309" t="s">
        <v>130</v>
      </c>
      <c r="L69" s="296" t="s">
        <v>131</v>
      </c>
      <c r="M69" s="296" t="s">
        <v>145</v>
      </c>
      <c r="N69" s="296" t="s">
        <v>134</v>
      </c>
      <c r="O69" s="291"/>
      <c r="R69" s="42"/>
      <c r="S69" s="43"/>
    </row>
    <row r="70" spans="2:19" ht="21.75" customHeight="1" x14ac:dyDescent="0.25">
      <c r="B70" s="34"/>
      <c r="C70" s="34"/>
      <c r="D70" s="310"/>
      <c r="E70" s="310"/>
      <c r="F70" s="301" t="s">
        <v>13</v>
      </c>
      <c r="G70" s="301" t="s">
        <v>9</v>
      </c>
      <c r="H70" s="297"/>
      <c r="I70" s="297"/>
      <c r="J70" s="297"/>
      <c r="K70" s="311"/>
      <c r="L70" s="297"/>
      <c r="M70" s="297"/>
      <c r="N70" s="297"/>
      <c r="O70" s="297"/>
      <c r="R70" s="42"/>
      <c r="S70" s="43"/>
    </row>
    <row r="71" spans="2:19" ht="36.9" customHeight="1" x14ac:dyDescent="0.3">
      <c r="B71" s="34"/>
      <c r="C71" s="34"/>
      <c r="D71" s="204"/>
      <c r="E71" s="204"/>
      <c r="F71" s="87" t="s">
        <v>28</v>
      </c>
      <c r="G71" s="92"/>
      <c r="H71" s="88"/>
      <c r="I71" s="90"/>
      <c r="J71" s="90"/>
      <c r="K71" s="221"/>
      <c r="L71" s="90"/>
      <c r="M71" s="90"/>
      <c r="N71" s="91"/>
      <c r="O71" s="80"/>
      <c r="R71" s="42"/>
      <c r="S71" s="43"/>
    </row>
    <row r="72" spans="2:19" ht="36.9" customHeight="1" x14ac:dyDescent="0.25">
      <c r="B72" s="34"/>
      <c r="C72" s="34"/>
      <c r="D72" s="204" t="s">
        <v>227</v>
      </c>
      <c r="E72" s="209" t="s">
        <v>214</v>
      </c>
      <c r="F72" s="95" t="s">
        <v>30</v>
      </c>
      <c r="G72" s="95" t="s">
        <v>29</v>
      </c>
      <c r="H72" s="94">
        <v>15</v>
      </c>
      <c r="I72" s="90">
        <v>0</v>
      </c>
      <c r="J72" s="90">
        <v>0</v>
      </c>
      <c r="K72" s="221">
        <f t="shared" ref="K72:K77" si="9">IFERROR(IF(ROUND((((J72/H72*30.4)-VLOOKUP((J72/H72*30.4),TARIFA,1))*VLOOKUP((J72/H72*30.4),TARIFA,3)+VLOOKUP((J72/H72*30.4),TARIFA,2)-VLOOKUP((J72/H72*30.4),SUBSIDIO,2))/30.4*H72,2)&lt;0,ROUND(-(((J72/H72*30.4)-VLOOKUP((J72/H72*30.4),TARIFA,1))*VLOOKUP((J72/H72*30.4),TARIFA,3)+VLOOKUP((J72/H72*30.4),TARIFA,2)-VLOOKUP((J72/H72*30.4),SUBSIDIO,2))/30.4*H72,2),0),0)</f>
        <v>0</v>
      </c>
      <c r="L72" s="90">
        <f t="shared" ref="L72:L77" si="10">IFERROR(IF(ROUND((((J72/H72*30.4)-VLOOKUP((J72/H72*30.4),TARIFA,1))*VLOOKUP((J72/H72*30.4),TARIFA,3)+VLOOKUP((J72/H72*30.4),TARIFA,2)-VLOOKUP((J72/H72*30.4),SUBSIDIO,2))/30.4*H72,2)&gt;0,ROUND((((J72/H72*30.4)-VLOOKUP((J72/H72*30.4),TARIFA,1))*VLOOKUP((J72/H72*30.4),TARIFA,3)+VLOOKUP((J72/H72*30.4),TARIFA,2)-VLOOKUP((J72/H72*30.4),SUBSIDIO,2))/30.4*H72,2),0),0)</f>
        <v>0</v>
      </c>
      <c r="M72" s="90">
        <v>0</v>
      </c>
      <c r="N72" s="90">
        <f t="shared" ref="N72:N80" si="11">J72+K72-L72</f>
        <v>0</v>
      </c>
      <c r="O72" s="81"/>
      <c r="R72" s="42"/>
      <c r="S72" s="43"/>
    </row>
    <row r="73" spans="2:19" ht="36.9" customHeight="1" x14ac:dyDescent="0.25">
      <c r="B73" s="34"/>
      <c r="C73" s="34"/>
      <c r="D73" s="204" t="s">
        <v>228</v>
      </c>
      <c r="E73" s="209" t="s">
        <v>214</v>
      </c>
      <c r="F73" s="95" t="s">
        <v>72</v>
      </c>
      <c r="G73" s="95" t="s">
        <v>29</v>
      </c>
      <c r="H73" s="94">
        <v>15</v>
      </c>
      <c r="I73" s="90">
        <v>4337</v>
      </c>
      <c r="J73" s="90">
        <v>4337</v>
      </c>
      <c r="K73" s="90">
        <f>IFERROR(IF(ROUND((((J73/H73*30.4)-VLOOKUP((J73/H73*30.4),TARIFA,1))*VLOOKUP((J73/H73*30.4),TARIFA,3)+VLOOKUP((J73/H73*30.4),TARIFA,2)-VLOOKUP((J73/H73*30.4),SUBSIDIO,2))/30.4*H73,2)&lt;0,ROUND(-(((J73/H73*30.4)-VLOOKUP((J73/H73*30.4),TARIFA,1))*VLOOKUP((J73/H73*30.4),TARIFA,3)+VLOOKUP((J73/H73*30.4),TARIFA,2)-VLOOKUP((J73/H73*30.4),SUBSIDIO,2))/30.4*H73,2),0),0)</f>
        <v>0</v>
      </c>
      <c r="L73" s="90">
        <f>IFERROR(IF(ROUND((((J73/H73*30.4)-VLOOKUP((J73/H73*30.4),TARIFA,1))*VLOOKUP((J73/H73*30.4),TARIFA,3)+VLOOKUP((J73/H73*30.4),TARIFA,2)-VLOOKUP((J73/H73*30.4),SUBSIDIO,2))/30.4*H73,2)&gt;0,ROUND((((J73/H73*30.4)-VLOOKUP((J73/H73*30.4),TARIFA,1))*VLOOKUP((J73/H73*30.4),TARIFA,3)+VLOOKUP((J73/H73*30.4),TARIFA,2)-VLOOKUP((J73/H73*30.4),SUBSIDIO,2))/30.4*H73,2),0),0)</f>
        <v>336.68</v>
      </c>
      <c r="M73" s="90">
        <v>0</v>
      </c>
      <c r="N73" s="90">
        <f t="shared" si="11"/>
        <v>4000.32</v>
      </c>
      <c r="O73" s="81"/>
      <c r="R73" s="42"/>
      <c r="S73" s="43"/>
    </row>
    <row r="74" spans="2:19" ht="36.9" customHeight="1" x14ac:dyDescent="0.25">
      <c r="B74" s="34"/>
      <c r="C74" s="34"/>
      <c r="D74" s="204" t="s">
        <v>229</v>
      </c>
      <c r="E74" s="209" t="s">
        <v>214</v>
      </c>
      <c r="F74" s="95" t="s">
        <v>32</v>
      </c>
      <c r="G74" s="95" t="s">
        <v>33</v>
      </c>
      <c r="H74" s="94">
        <v>15</v>
      </c>
      <c r="I74" s="90">
        <v>3052</v>
      </c>
      <c r="J74" s="90">
        <v>3052</v>
      </c>
      <c r="K74" s="221">
        <f t="shared" si="9"/>
        <v>0</v>
      </c>
      <c r="L74" s="90">
        <f t="shared" si="10"/>
        <v>51.49</v>
      </c>
      <c r="M74" s="90">
        <v>0</v>
      </c>
      <c r="N74" s="90">
        <f t="shared" si="11"/>
        <v>3000.51</v>
      </c>
      <c r="O74" s="81"/>
      <c r="R74" s="42"/>
      <c r="S74" s="43"/>
    </row>
    <row r="75" spans="2:19" ht="36.9" customHeight="1" x14ac:dyDescent="0.25">
      <c r="B75" s="34"/>
      <c r="C75" s="34"/>
      <c r="D75" s="204" t="s">
        <v>230</v>
      </c>
      <c r="E75" s="209" t="s">
        <v>450</v>
      </c>
      <c r="F75" s="95" t="s">
        <v>34</v>
      </c>
      <c r="G75" s="95" t="s">
        <v>35</v>
      </c>
      <c r="H75" s="94">
        <v>15</v>
      </c>
      <c r="I75" s="90">
        <v>3776</v>
      </c>
      <c r="J75" s="90">
        <v>3776</v>
      </c>
      <c r="K75" s="221">
        <f t="shared" si="9"/>
        <v>0</v>
      </c>
      <c r="L75" s="90">
        <f t="shared" si="10"/>
        <v>275.64</v>
      </c>
      <c r="M75" s="90">
        <v>0</v>
      </c>
      <c r="N75" s="90">
        <f t="shared" si="11"/>
        <v>3500.36</v>
      </c>
      <c r="O75" s="81"/>
      <c r="R75" s="42"/>
      <c r="S75" s="43"/>
    </row>
    <row r="76" spans="2:19" ht="36.9" customHeight="1" x14ac:dyDescent="0.25">
      <c r="B76" s="34"/>
      <c r="C76" s="34"/>
      <c r="D76" s="204" t="s">
        <v>231</v>
      </c>
      <c r="E76" s="209" t="s">
        <v>450</v>
      </c>
      <c r="F76" s="95" t="s">
        <v>66</v>
      </c>
      <c r="G76" s="95" t="s">
        <v>35</v>
      </c>
      <c r="H76" s="94">
        <v>15</v>
      </c>
      <c r="I76" s="90">
        <v>3776</v>
      </c>
      <c r="J76" s="90">
        <v>3776</v>
      </c>
      <c r="K76" s="221">
        <f t="shared" si="9"/>
        <v>0</v>
      </c>
      <c r="L76" s="90">
        <f t="shared" si="10"/>
        <v>275.64</v>
      </c>
      <c r="M76" s="90">
        <v>0</v>
      </c>
      <c r="N76" s="90">
        <f t="shared" si="11"/>
        <v>3500.36</v>
      </c>
      <c r="O76" s="81"/>
      <c r="R76" s="42"/>
      <c r="S76" s="43"/>
    </row>
    <row r="77" spans="2:19" ht="38.25" customHeight="1" x14ac:dyDescent="0.25">
      <c r="B77" s="34"/>
      <c r="C77" s="34"/>
      <c r="D77" s="208" t="s">
        <v>232</v>
      </c>
      <c r="E77" s="209" t="s">
        <v>450</v>
      </c>
      <c r="F77" s="96" t="s">
        <v>113</v>
      </c>
      <c r="G77" s="95" t="s">
        <v>29</v>
      </c>
      <c r="H77" s="94">
        <v>15</v>
      </c>
      <c r="I77" s="89">
        <v>3824</v>
      </c>
      <c r="J77" s="89">
        <v>3824</v>
      </c>
      <c r="K77" s="221">
        <f t="shared" si="9"/>
        <v>0</v>
      </c>
      <c r="L77" s="90">
        <f t="shared" si="10"/>
        <v>280.87</v>
      </c>
      <c r="M77" s="90">
        <v>0</v>
      </c>
      <c r="N77" s="90">
        <f t="shared" si="11"/>
        <v>3543.13</v>
      </c>
      <c r="O77" s="81"/>
      <c r="R77" s="42"/>
      <c r="S77" s="43"/>
    </row>
    <row r="78" spans="2:19" ht="36.9" customHeight="1" x14ac:dyDescent="0.3">
      <c r="D78" s="204"/>
      <c r="E78" s="209"/>
      <c r="F78" s="97" t="s">
        <v>146</v>
      </c>
      <c r="G78" s="95"/>
      <c r="H78" s="94"/>
      <c r="I78" s="90"/>
      <c r="J78" s="90"/>
      <c r="K78" s="221"/>
      <c r="L78" s="90"/>
      <c r="M78" s="90"/>
      <c r="N78" s="90"/>
      <c r="O78" s="17"/>
      <c r="R78" s="42"/>
      <c r="S78" s="43"/>
    </row>
    <row r="79" spans="2:19" ht="36.9" customHeight="1" x14ac:dyDescent="0.25">
      <c r="D79" s="204"/>
      <c r="E79" s="209" t="s">
        <v>450</v>
      </c>
      <c r="F79" s="95" t="s">
        <v>347</v>
      </c>
      <c r="G79" s="95" t="s">
        <v>407</v>
      </c>
      <c r="H79" s="94">
        <v>15</v>
      </c>
      <c r="I79" s="90">
        <v>3888</v>
      </c>
      <c r="J79" s="90">
        <v>3888</v>
      </c>
      <c r="K79" s="90">
        <f>IFERROR(IF(ROUND((((J79/H79*30.4)-VLOOKUP((J79/H79*30.4),TARIFA,1))*VLOOKUP((J79/H79*30.4),TARIFA,3)+VLOOKUP((J79/H79*30.4),TARIFA,2)-VLOOKUP((J79/H79*30.4),SUBSIDIO,2))/30.4*H79,2)&lt;0,ROUND(-(((J79/H79*30.4)-VLOOKUP((J79/H79*30.4),TARIFA,1))*VLOOKUP((J79/H79*30.4),TARIFA,3)+VLOOKUP((J79/H79*30.4),TARIFA,2)-VLOOKUP((J79/H79*30.4),SUBSIDIO,2))/30.4*H79,2),0),0)</f>
        <v>0</v>
      </c>
      <c r="L79" s="90">
        <f>IFERROR(IF(ROUND((((J79/H79*30.4)-VLOOKUP((J79/H79*30.4),TARIFA,1))*VLOOKUP((J79/H79*30.4),TARIFA,3)+VLOOKUP((J79/H79*30.4),TARIFA,2)-VLOOKUP((J79/H79*30.4),SUBSIDIO,2))/30.4*H79,2)&gt;0,ROUND((((J79/H79*30.4)-VLOOKUP((J79/H79*30.4),TARIFA,1))*VLOOKUP((J79/H79*30.4),TARIFA,3)+VLOOKUP((J79/H79*30.4),TARIFA,2)-VLOOKUP((J79/H79*30.4),SUBSIDIO,2))/30.4*H79,2),0),0)</f>
        <v>287.83</v>
      </c>
      <c r="M79" s="90">
        <v>0</v>
      </c>
      <c r="N79" s="90">
        <f t="shared" ref="N79" si="12">J79+K79-L79</f>
        <v>3600.17</v>
      </c>
      <c r="O79" s="17"/>
      <c r="R79" s="42"/>
      <c r="S79" s="43"/>
    </row>
    <row r="80" spans="2:19" ht="34.5" customHeight="1" x14ac:dyDescent="0.25">
      <c r="D80" s="209" t="s">
        <v>233</v>
      </c>
      <c r="E80" s="209" t="s">
        <v>450</v>
      </c>
      <c r="F80" s="95" t="s">
        <v>110</v>
      </c>
      <c r="G80" s="95" t="s">
        <v>15</v>
      </c>
      <c r="H80" s="94">
        <v>15</v>
      </c>
      <c r="I80" s="90">
        <v>4009</v>
      </c>
      <c r="J80" s="90">
        <v>4009</v>
      </c>
      <c r="K80" s="221">
        <f>IFERROR(IF(ROUND((((J80/H80*30.4)-VLOOKUP((J80/H80*30.4),TARIFA,1))*VLOOKUP((J80/H80*30.4),TARIFA,3)+VLOOKUP((J80/H80*30.4),TARIFA,2)-VLOOKUP((J80/H80*30.4),SUBSIDIO,2))/30.4*H80,2)&lt;0,ROUND(-(((J80/H80*30.4)-VLOOKUP((J80/H80*30.4),TARIFA,1))*VLOOKUP((J80/H80*30.4),TARIFA,3)+VLOOKUP((J80/H80*30.4),TARIFA,2)-VLOOKUP((J80/H80*30.4),SUBSIDIO,2))/30.4*H80,2),0),0)</f>
        <v>0</v>
      </c>
      <c r="L80" s="90">
        <f>IFERROR(IF(ROUND((((J80/H80*30.4)-VLOOKUP((J80/H80*30.4),TARIFA,1))*VLOOKUP((J80/H80*30.4),TARIFA,3)+VLOOKUP((J80/H80*30.4),TARIFA,2)-VLOOKUP((J80/H80*30.4),SUBSIDIO,2))/30.4*H80,2)&gt;0,ROUND((((J80/H80*30.4)-VLOOKUP((J80/H80*30.4),TARIFA,1))*VLOOKUP((J80/H80*30.4),TARIFA,3)+VLOOKUP((J80/H80*30.4),TARIFA,2)-VLOOKUP((J80/H80*30.4),SUBSIDIO,2))/30.4*H80,2),0),0)</f>
        <v>300.99</v>
      </c>
      <c r="M80" s="90">
        <v>0</v>
      </c>
      <c r="N80" s="90">
        <f t="shared" si="11"/>
        <v>3708.01</v>
      </c>
      <c r="O80" s="17"/>
      <c r="R80" s="42"/>
      <c r="S80" s="43"/>
    </row>
    <row r="81" spans="4:19" ht="1.5" hidden="1" customHeight="1" x14ac:dyDescent="0.25">
      <c r="D81" s="204"/>
      <c r="E81" s="209"/>
      <c r="F81" s="95"/>
      <c r="G81" s="95"/>
      <c r="H81" s="94"/>
      <c r="I81" s="90">
        <v>4009</v>
      </c>
      <c r="J81" s="90">
        <v>4009</v>
      </c>
      <c r="K81" s="221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90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90">
        <v>1</v>
      </c>
      <c r="N81" s="90">
        <f t="shared" ref="N81:N85" si="13">J81+K81-L81</f>
        <v>4009</v>
      </c>
      <c r="O81" s="17"/>
      <c r="R81" s="42"/>
      <c r="S81" s="43"/>
    </row>
    <row r="82" spans="4:19" ht="36.9" hidden="1" customHeight="1" x14ac:dyDescent="0.25">
      <c r="D82" s="209">
        <v>35</v>
      </c>
      <c r="E82" s="209"/>
      <c r="F82" s="95"/>
      <c r="G82" s="95"/>
      <c r="H82" s="94"/>
      <c r="I82" s="90">
        <v>4009</v>
      </c>
      <c r="J82" s="90">
        <v>4009</v>
      </c>
      <c r="K82" s="221">
        <f>IFERROR(IF(ROUND((((J82/H82*30.4)-VLOOKUP((J82/H82*30.4),TARIFA,1))*VLOOKUP((J82/H82*30.4),TARIFA,3)+VLOOKUP((J82/H82*30.4),TARIFA,2)-VLOOKUP((J82/H82*30.4),SUBSIDIO,2))/30.4*H82,2)&lt;0,ROUND(-(((J82/H82*30.4)-VLOOKUP((J82/H82*30.4),TARIFA,1))*VLOOKUP((J82/H82*30.4),TARIFA,3)+VLOOKUP((J82/H82*30.4),TARIFA,2)-VLOOKUP((J82/H82*30.4),SUBSIDIO,2))/30.4*H82,2),0),0)</f>
        <v>0</v>
      </c>
      <c r="L82" s="90">
        <f>IFERROR(IF(ROUND((((J82/H82*30.4)-VLOOKUP((J82/H82*30.4),TARIFA,1))*VLOOKUP((J82/H82*30.4),TARIFA,3)+VLOOKUP((J82/H82*30.4),TARIFA,2)-VLOOKUP((J82/H82*30.4),SUBSIDIO,2))/30.4*H82,2)&gt;0,ROUND((((J82/H82*30.4)-VLOOKUP((J82/H82*30.4),TARIFA,1))*VLOOKUP((J82/H82*30.4),TARIFA,3)+VLOOKUP((J82/H82*30.4),TARIFA,2)-VLOOKUP((J82/H82*30.4),SUBSIDIO,2))/30.4*H82,2),0),0)</f>
        <v>0</v>
      </c>
      <c r="M82" s="90">
        <v>2</v>
      </c>
      <c r="N82" s="90">
        <f t="shared" si="13"/>
        <v>4009</v>
      </c>
      <c r="O82" s="17"/>
      <c r="R82" s="42"/>
      <c r="S82" s="43"/>
    </row>
    <row r="83" spans="4:19" ht="3" hidden="1" customHeight="1" x14ac:dyDescent="0.25">
      <c r="D83" s="209"/>
      <c r="E83" s="209"/>
      <c r="F83" s="95"/>
      <c r="G83" s="95"/>
      <c r="H83" s="94"/>
      <c r="I83" s="90">
        <v>4009</v>
      </c>
      <c r="J83" s="90">
        <v>4009</v>
      </c>
      <c r="K83" s="221">
        <f>IFERROR(IF(ROUND((((J83/H83*30.4)-VLOOKUP((J83/H83*30.4),TARIFA,1))*VLOOKUP((J83/H83*30.4),TARIFA,3)+VLOOKUP((J83/H83*30.4),TARIFA,2)-VLOOKUP((J83/H83*30.4),SUBSIDIO,2))/30.4*H83,2)&lt;0,ROUND(-(((J83/H83*30.4)-VLOOKUP((J83/H83*30.4),TARIFA,1))*VLOOKUP((J83/H83*30.4),TARIFA,3)+VLOOKUP((J83/H83*30.4),TARIFA,2)-VLOOKUP((J83/H83*30.4),SUBSIDIO,2))/30.4*H83,2),0),0)</f>
        <v>0</v>
      </c>
      <c r="L83" s="90">
        <f>IFERROR(IF(ROUND((((J83/H83*30.4)-VLOOKUP((J83/H83*30.4),TARIFA,1))*VLOOKUP((J83/H83*30.4),TARIFA,3)+VLOOKUP((J83/H83*30.4),TARIFA,2)-VLOOKUP((J83/H83*30.4),SUBSIDIO,2))/30.4*H83,2)&gt;0,ROUND((((J83/H83*30.4)-VLOOKUP((J83/H83*30.4),TARIFA,1))*VLOOKUP((J83/H83*30.4),TARIFA,3)+VLOOKUP((J83/H83*30.4),TARIFA,2)-VLOOKUP((J83/H83*30.4),SUBSIDIO,2))/30.4*H83,2),0),0)</f>
        <v>0</v>
      </c>
      <c r="M83" s="90">
        <v>3</v>
      </c>
      <c r="N83" s="90">
        <f t="shared" si="13"/>
        <v>4009</v>
      </c>
      <c r="O83" s="17"/>
      <c r="R83" s="42"/>
      <c r="S83" s="43"/>
    </row>
    <row r="84" spans="4:19" ht="42.75" customHeight="1" x14ac:dyDescent="0.3">
      <c r="D84" s="209"/>
      <c r="E84" s="209"/>
      <c r="F84" s="97" t="s">
        <v>327</v>
      </c>
      <c r="G84" s="95"/>
      <c r="H84" s="94"/>
      <c r="I84" s="90"/>
      <c r="J84" s="90"/>
      <c r="K84" s="221"/>
      <c r="L84" s="90"/>
      <c r="M84" s="90"/>
      <c r="N84" s="90"/>
      <c r="O84" s="17"/>
      <c r="R84" s="42"/>
      <c r="S84" s="43"/>
    </row>
    <row r="85" spans="4:19" ht="36.9" customHeight="1" x14ac:dyDescent="0.25">
      <c r="D85" s="204"/>
      <c r="E85" s="209" t="s">
        <v>214</v>
      </c>
      <c r="F85" s="95" t="s">
        <v>328</v>
      </c>
      <c r="G85" s="95" t="s">
        <v>403</v>
      </c>
      <c r="H85" s="94">
        <v>15</v>
      </c>
      <c r="I85" s="90">
        <v>3888</v>
      </c>
      <c r="J85" s="90">
        <v>3888</v>
      </c>
      <c r="K85" s="221">
        <f>IFERROR(IF(ROUND((((J85/H85*30.4)-VLOOKUP((J85/H85*30.4),TARIFA,1))*VLOOKUP((J85/H85*30.4),TARIFA,3)+VLOOKUP((J85/H85*30.4),TARIFA,2)-VLOOKUP((J85/H85*30.4),SUBSIDIO,2))/30.4*H85,2)&lt;0,ROUND(-(((J85/H85*30.4)-VLOOKUP((J85/H85*30.4),TARIFA,1))*VLOOKUP((J85/H85*30.4),TARIFA,3)+VLOOKUP((J85/H85*30.4),TARIFA,2)-VLOOKUP((J85/H85*30.4),SUBSIDIO,2))/30.4*H85,2),0),0)</f>
        <v>0</v>
      </c>
      <c r="L85" s="90">
        <f>IFERROR(IF(ROUND((((J85/H85*30.4)-VLOOKUP((J85/H85*30.4),TARIFA,1))*VLOOKUP((J85/H85*30.4),TARIFA,3)+VLOOKUP((J85/H85*30.4),TARIFA,2)-VLOOKUP((J85/H85*30.4),SUBSIDIO,2))/30.4*H85,2)&gt;0,ROUND((((J85/H85*30.4)-VLOOKUP((J85/H85*30.4),TARIFA,1))*VLOOKUP((J85/H85*30.4),TARIFA,3)+VLOOKUP((J85/H85*30.4),TARIFA,2)-VLOOKUP((J85/H85*30.4),SUBSIDIO,2))/30.4*H85,2),0),0)</f>
        <v>287.83</v>
      </c>
      <c r="M85" s="90">
        <v>5</v>
      </c>
      <c r="N85" s="90">
        <f t="shared" si="13"/>
        <v>3600.17</v>
      </c>
      <c r="O85" s="17"/>
      <c r="R85" s="42"/>
      <c r="S85" s="43"/>
    </row>
    <row r="86" spans="4:19" ht="36.9" customHeight="1" x14ac:dyDescent="0.3">
      <c r="D86" s="204"/>
      <c r="E86" s="209"/>
      <c r="F86" s="97" t="s">
        <v>409</v>
      </c>
      <c r="G86" s="95"/>
      <c r="H86" s="94"/>
      <c r="I86" s="90"/>
      <c r="J86" s="90"/>
      <c r="K86" s="221"/>
      <c r="L86" s="90"/>
      <c r="M86" s="90"/>
      <c r="N86" s="90"/>
      <c r="O86" s="17"/>
      <c r="R86" s="42"/>
      <c r="S86" s="43"/>
    </row>
    <row r="87" spans="4:19" ht="36.75" customHeight="1" x14ac:dyDescent="0.25">
      <c r="D87" s="204"/>
      <c r="E87" s="209" t="s">
        <v>450</v>
      </c>
      <c r="F87" s="95" t="s">
        <v>333</v>
      </c>
      <c r="G87" s="262" t="s">
        <v>334</v>
      </c>
      <c r="H87" s="94">
        <v>15</v>
      </c>
      <c r="I87" s="90">
        <v>4337</v>
      </c>
      <c r="J87" s="90">
        <v>4337</v>
      </c>
      <c r="K87" s="90">
        <f>IFERROR(IF(ROUND((((J87/H87*30.4)-VLOOKUP((J87/H87*30.4),TARIFA,1))*VLOOKUP((J87/H87*30.4),TARIFA,3)+VLOOKUP((J87/H87*30.4),TARIFA,2)-VLOOKUP((J87/H87*30.4),SUBSIDIO,2))/30.4*H87,2)&lt;0,ROUND(-(((J87/H87*30.4)-VLOOKUP((J87/H87*30.4),TARIFA,1))*VLOOKUP((J87/H87*30.4),TARIFA,3)+VLOOKUP((J87/H87*30.4),TARIFA,2)-VLOOKUP((J87/H87*30.4),SUBSIDIO,2))/30.4*H87,2),0),0)</f>
        <v>0</v>
      </c>
      <c r="L87" s="90">
        <f>IFERROR(IF(ROUND((((J87/H87*30.4)-VLOOKUP((J87/H87*30.4),TARIFA,1))*VLOOKUP((J87/H87*30.4),TARIFA,3)+VLOOKUP((J87/H87*30.4),TARIFA,2)-VLOOKUP((J87/H87*30.4),SUBSIDIO,2))/30.4*H87,2)&gt;0,ROUND((((J87/H87*30.4)-VLOOKUP((J87/H87*30.4),TARIFA,1))*VLOOKUP((J87/H87*30.4),TARIFA,3)+VLOOKUP((J87/H87*30.4),TARIFA,2)-VLOOKUP((J87/H87*30.4),SUBSIDIO,2))/30.4*H87,2),0),0)</f>
        <v>336.68</v>
      </c>
      <c r="M87" s="90">
        <v>0</v>
      </c>
      <c r="N87" s="90">
        <f t="shared" ref="N87" si="14">J87+K87-L87</f>
        <v>4000.32</v>
      </c>
      <c r="O87" s="17"/>
      <c r="R87" s="42"/>
      <c r="S87" s="43"/>
    </row>
    <row r="88" spans="4:19" ht="36.9" customHeight="1" x14ac:dyDescent="0.25">
      <c r="D88" s="210"/>
      <c r="E88" s="217"/>
      <c r="F88" s="71"/>
      <c r="G88" s="71"/>
      <c r="H88" s="64"/>
      <c r="I88" s="72">
        <f>SUM(I72:I87)</f>
        <v>46914</v>
      </c>
      <c r="J88" s="72">
        <f>SUM(J72:J87)</f>
        <v>46914</v>
      </c>
      <c r="K88" s="72">
        <f>SUM(K72:K87)</f>
        <v>0</v>
      </c>
      <c r="L88" s="72">
        <f>SUM(L72:L87)</f>
        <v>2433.6499999999996</v>
      </c>
      <c r="M88" s="72">
        <f t="shared" ref="M88" si="15">SUM(M72:M87)</f>
        <v>11</v>
      </c>
      <c r="N88" s="72">
        <f>SUM(N72:N87)</f>
        <v>44480.35</v>
      </c>
      <c r="O88" s="65"/>
      <c r="P88" s="73"/>
      <c r="R88" s="42"/>
      <c r="S88" s="43"/>
    </row>
    <row r="89" spans="4:19" ht="21.9" customHeight="1" x14ac:dyDescent="0.35">
      <c r="D89" s="547" t="s">
        <v>123</v>
      </c>
      <c r="E89" s="547"/>
      <c r="F89" s="547"/>
      <c r="G89" s="547"/>
      <c r="H89" s="547"/>
      <c r="I89" s="547"/>
      <c r="J89" s="547"/>
      <c r="K89" s="547"/>
      <c r="L89" s="547"/>
      <c r="M89" s="547"/>
      <c r="N89" s="547"/>
      <c r="O89" s="547"/>
      <c r="R89" s="42"/>
      <c r="S89" s="43"/>
    </row>
    <row r="90" spans="4:19" ht="21.9" customHeight="1" x14ac:dyDescent="0.35">
      <c r="D90" s="547" t="s">
        <v>139</v>
      </c>
      <c r="E90" s="547"/>
      <c r="F90" s="547"/>
      <c r="G90" s="547"/>
      <c r="H90" s="547"/>
      <c r="I90" s="547"/>
      <c r="J90" s="547"/>
      <c r="K90" s="547"/>
      <c r="L90" s="547"/>
      <c r="M90" s="547"/>
      <c r="N90" s="547"/>
      <c r="O90" s="547"/>
      <c r="R90" s="42"/>
      <c r="S90" s="43"/>
    </row>
    <row r="91" spans="4:19" ht="21.9" customHeight="1" x14ac:dyDescent="0.35">
      <c r="D91" s="547" t="str">
        <f>D5</f>
        <v>NOMINA 2DA QUINCENA DE DICIEMBRE DE 2021</v>
      </c>
      <c r="E91" s="547"/>
      <c r="F91" s="547"/>
      <c r="G91" s="547"/>
      <c r="H91" s="547"/>
      <c r="I91" s="547"/>
      <c r="J91" s="547"/>
      <c r="K91" s="547"/>
      <c r="L91" s="547"/>
      <c r="M91" s="547"/>
      <c r="N91" s="547"/>
      <c r="O91" s="547"/>
      <c r="R91" s="42"/>
      <c r="S91" s="43"/>
    </row>
    <row r="92" spans="4:19" ht="21.9" customHeight="1" x14ac:dyDescent="0.35">
      <c r="D92" s="547" t="s">
        <v>123</v>
      </c>
      <c r="E92" s="547"/>
      <c r="F92" s="547"/>
      <c r="G92" s="547"/>
      <c r="H92" s="547"/>
      <c r="I92" s="547"/>
      <c r="J92" s="547"/>
      <c r="K92" s="547"/>
      <c r="L92" s="547"/>
      <c r="M92" s="547"/>
      <c r="N92" s="547"/>
      <c r="O92" s="547"/>
      <c r="R92" s="42"/>
      <c r="S92" s="43"/>
    </row>
    <row r="93" spans="4:19" ht="21.9" customHeight="1" x14ac:dyDescent="0.25">
      <c r="D93" s="303"/>
      <c r="E93" s="303" t="s">
        <v>208</v>
      </c>
      <c r="F93" s="304"/>
      <c r="G93" s="304"/>
      <c r="H93" s="296" t="s">
        <v>4</v>
      </c>
      <c r="I93" s="305"/>
      <c r="J93" s="544" t="s">
        <v>122</v>
      </c>
      <c r="K93" s="545"/>
      <c r="L93" s="544"/>
      <c r="M93" s="546"/>
      <c r="N93" s="546"/>
      <c r="O93" s="296"/>
      <c r="R93" s="42"/>
      <c r="S93" s="43"/>
    </row>
    <row r="94" spans="4:19" ht="13.5" customHeight="1" x14ac:dyDescent="0.25">
      <c r="D94" s="306" t="s">
        <v>3</v>
      </c>
      <c r="E94" s="306" t="s">
        <v>209</v>
      </c>
      <c r="F94" s="291"/>
      <c r="G94" s="291"/>
      <c r="H94" s="295" t="s">
        <v>5</v>
      </c>
      <c r="I94" s="296" t="s">
        <v>1</v>
      </c>
      <c r="J94" s="296" t="s">
        <v>125</v>
      </c>
      <c r="K94" s="307" t="s">
        <v>129</v>
      </c>
      <c r="L94" s="297"/>
      <c r="M94" s="297" t="s">
        <v>144</v>
      </c>
      <c r="N94" s="297" t="s">
        <v>128</v>
      </c>
      <c r="O94" s="291" t="s">
        <v>133</v>
      </c>
      <c r="R94" s="42"/>
      <c r="S94" s="43"/>
    </row>
    <row r="95" spans="4:19" ht="21.9" customHeight="1" x14ac:dyDescent="0.25">
      <c r="D95" s="308"/>
      <c r="E95" s="306"/>
      <c r="F95" s="299"/>
      <c r="G95" s="299" t="s">
        <v>10</v>
      </c>
      <c r="H95" s="291"/>
      <c r="I95" s="291" t="s">
        <v>7</v>
      </c>
      <c r="J95" s="291" t="s">
        <v>128</v>
      </c>
      <c r="K95" s="309" t="s">
        <v>130</v>
      </c>
      <c r="L95" s="296" t="s">
        <v>131</v>
      </c>
      <c r="M95" s="296" t="s">
        <v>145</v>
      </c>
      <c r="N95" s="296" t="s">
        <v>134</v>
      </c>
      <c r="O95" s="291"/>
      <c r="R95" s="42"/>
      <c r="S95" s="43"/>
    </row>
    <row r="96" spans="4:19" ht="21.9" customHeight="1" x14ac:dyDescent="0.25">
      <c r="D96" s="310"/>
      <c r="E96" s="310"/>
      <c r="F96" s="301" t="s">
        <v>13</v>
      </c>
      <c r="G96" s="301" t="s">
        <v>9</v>
      </c>
      <c r="H96" s="297"/>
      <c r="I96" s="297"/>
      <c r="J96" s="297"/>
      <c r="K96" s="311"/>
      <c r="L96" s="297"/>
      <c r="M96" s="297"/>
      <c r="N96" s="297"/>
      <c r="O96" s="297"/>
      <c r="R96" s="42"/>
      <c r="S96" s="43"/>
    </row>
    <row r="97" spans="4:19" ht="36.9" customHeight="1" x14ac:dyDescent="0.3">
      <c r="D97" s="211"/>
      <c r="E97" s="218"/>
      <c r="F97" s="99" t="s">
        <v>44</v>
      </c>
      <c r="G97" s="100"/>
      <c r="H97" s="101"/>
      <c r="I97" s="102"/>
      <c r="J97" s="102"/>
      <c r="K97" s="223"/>
      <c r="L97" s="91"/>
      <c r="M97" s="91"/>
      <c r="N97" s="91"/>
      <c r="O97" s="54"/>
      <c r="R97" s="42"/>
      <c r="S97" s="43"/>
    </row>
    <row r="98" spans="4:19" ht="36.9" customHeight="1" x14ac:dyDescent="0.25">
      <c r="D98" s="204"/>
      <c r="E98" s="204" t="s">
        <v>214</v>
      </c>
      <c r="F98" s="92" t="s">
        <v>435</v>
      </c>
      <c r="G98" s="93" t="s">
        <v>93</v>
      </c>
      <c r="H98" s="88">
        <v>15</v>
      </c>
      <c r="I98" s="90">
        <v>1694</v>
      </c>
      <c r="J98" s="90">
        <v>1694</v>
      </c>
      <c r="K98" s="221">
        <f t="shared" ref="K98:K104" si="16">IFERROR(IF(ROUND((((J98/H98*30.4)-VLOOKUP((J98/H98*30.4),TARIFA,1))*VLOOKUP((J98/H98*30.4),TARIFA,3)+VLOOKUP((J98/H98*30.4),TARIFA,2)-VLOOKUP((J98/H98*30.4),SUBSIDIO,2))/30.4*H98,2)&lt;0,ROUND(-(((J98/H98*30.4)-VLOOKUP((J98/H98*30.4),TARIFA,1))*VLOOKUP((J98/H98*30.4),TARIFA,3)+VLOOKUP((J98/H98*30.4),TARIFA,2)-VLOOKUP((J98/H98*30.4),SUBSIDIO,2))/30.4*H98,2),0),0)</f>
        <v>106.47</v>
      </c>
      <c r="L98" s="90">
        <f t="shared" ref="L98:L107" si="17">IFERROR(IF(ROUND((((J98/H98*30.4)-VLOOKUP((J98/H98*30.4),TARIFA,1))*VLOOKUP((J98/H98*30.4),TARIFA,3)+VLOOKUP((J98/H98*30.4),TARIFA,2)-VLOOKUP((J98/H98*30.4),SUBSIDIO,2))/30.4*H98,2)&gt;0,ROUND((((J98/H98*30.4)-VLOOKUP((J98/H98*30.4),TARIFA,1))*VLOOKUP((J98/H98*30.4),TARIFA,3)+VLOOKUP((J98/H98*30.4),TARIFA,2)-VLOOKUP((J98/H98*30.4),SUBSIDIO,2))/30.4*H98,2),0),0)</f>
        <v>0</v>
      </c>
      <c r="M98" s="90">
        <v>0</v>
      </c>
      <c r="N98" s="90">
        <f t="shared" ref="N98:N107" si="18">J98+K98-L98</f>
        <v>1800.47</v>
      </c>
      <c r="O98" s="17"/>
      <c r="R98" s="42"/>
      <c r="S98" s="43"/>
    </row>
    <row r="99" spans="4:19" ht="36.9" customHeight="1" x14ac:dyDescent="0.25">
      <c r="D99" s="209"/>
      <c r="E99" s="209" t="s">
        <v>214</v>
      </c>
      <c r="F99" s="95" t="s">
        <v>381</v>
      </c>
      <c r="G99" s="262" t="s">
        <v>75</v>
      </c>
      <c r="H99" s="94">
        <v>15</v>
      </c>
      <c r="I99" s="90">
        <v>1694</v>
      </c>
      <c r="J99" s="90">
        <v>1694</v>
      </c>
      <c r="K99" s="221">
        <f t="shared" si="16"/>
        <v>106.47</v>
      </c>
      <c r="L99" s="90">
        <f t="shared" si="17"/>
        <v>0</v>
      </c>
      <c r="M99" s="90">
        <v>0</v>
      </c>
      <c r="N99" s="90">
        <f t="shared" si="18"/>
        <v>1800.47</v>
      </c>
      <c r="O99" s="17"/>
      <c r="R99" s="42"/>
      <c r="S99" s="43"/>
    </row>
    <row r="100" spans="4:19" ht="36.9" customHeight="1" x14ac:dyDescent="0.25">
      <c r="D100" s="209"/>
      <c r="E100" s="209" t="s">
        <v>214</v>
      </c>
      <c r="F100" s="95" t="s">
        <v>447</v>
      </c>
      <c r="G100" s="262" t="s">
        <v>78</v>
      </c>
      <c r="H100" s="94">
        <v>15</v>
      </c>
      <c r="I100" s="90">
        <v>1694</v>
      </c>
      <c r="J100" s="90">
        <v>1694</v>
      </c>
      <c r="K100" s="221">
        <f t="shared" si="16"/>
        <v>106.47</v>
      </c>
      <c r="L100" s="90">
        <f t="shared" si="17"/>
        <v>0</v>
      </c>
      <c r="M100" s="90">
        <v>0</v>
      </c>
      <c r="N100" s="90">
        <f t="shared" si="18"/>
        <v>1800.47</v>
      </c>
      <c r="O100" s="17"/>
      <c r="R100" s="42"/>
      <c r="S100" s="43"/>
    </row>
    <row r="101" spans="4:19" ht="36.9" customHeight="1" x14ac:dyDescent="0.25">
      <c r="D101" s="209"/>
      <c r="E101" s="209" t="s">
        <v>214</v>
      </c>
      <c r="F101" s="95" t="s">
        <v>380</v>
      </c>
      <c r="G101" s="262" t="s">
        <v>79</v>
      </c>
      <c r="H101" s="94">
        <v>15</v>
      </c>
      <c r="I101" s="90">
        <v>1694</v>
      </c>
      <c r="J101" s="90">
        <v>1694</v>
      </c>
      <c r="K101" s="221">
        <f t="shared" si="16"/>
        <v>106.47</v>
      </c>
      <c r="L101" s="90">
        <f t="shared" si="17"/>
        <v>0</v>
      </c>
      <c r="M101" s="90">
        <v>0</v>
      </c>
      <c r="N101" s="90">
        <f t="shared" si="18"/>
        <v>1800.47</v>
      </c>
      <c r="O101" s="17"/>
      <c r="R101" s="42"/>
      <c r="S101" s="43"/>
    </row>
    <row r="102" spans="4:19" ht="36.9" customHeight="1" x14ac:dyDescent="0.25">
      <c r="D102" s="209"/>
      <c r="E102" s="209" t="s">
        <v>214</v>
      </c>
      <c r="F102" s="95" t="s">
        <v>378</v>
      </c>
      <c r="G102" s="262" t="s">
        <v>94</v>
      </c>
      <c r="H102" s="94">
        <v>15</v>
      </c>
      <c r="I102" s="90">
        <v>1694</v>
      </c>
      <c r="J102" s="90">
        <v>1694</v>
      </c>
      <c r="K102" s="221">
        <f t="shared" si="16"/>
        <v>106.47</v>
      </c>
      <c r="L102" s="90">
        <f t="shared" ref="L102" si="19">IFERROR(IF(ROUND((((J102/H102*30.4)-VLOOKUP((J102/H102*30.4),TARIFA,1))*VLOOKUP((J102/H102*30.4),TARIFA,3)+VLOOKUP((J102/H102*30.4),TARIFA,2)-VLOOKUP((J102/H102*30.4),SUBSIDIO,2))/30.4*H102,2)&gt;0,ROUND((((J102/H102*30.4)-VLOOKUP((J102/H102*30.4),TARIFA,1))*VLOOKUP((J102/H102*30.4),TARIFA,3)+VLOOKUP((J102/H102*30.4),TARIFA,2)-VLOOKUP((J102/H102*30.4),SUBSIDIO,2))/30.4*H102,2),0),0)</f>
        <v>0</v>
      </c>
      <c r="M102" s="90">
        <v>0</v>
      </c>
      <c r="N102" s="90">
        <f t="shared" si="18"/>
        <v>1800.47</v>
      </c>
      <c r="O102" s="17"/>
      <c r="R102" s="42"/>
      <c r="S102" s="43"/>
    </row>
    <row r="103" spans="4:19" ht="36.9" customHeight="1" x14ac:dyDescent="0.25">
      <c r="D103" s="209"/>
      <c r="E103" s="209" t="s">
        <v>214</v>
      </c>
      <c r="F103" s="95" t="s">
        <v>379</v>
      </c>
      <c r="G103" s="262" t="s">
        <v>95</v>
      </c>
      <c r="H103" s="94">
        <v>15</v>
      </c>
      <c r="I103" s="90">
        <v>1694</v>
      </c>
      <c r="J103" s="90">
        <v>1694</v>
      </c>
      <c r="K103" s="221">
        <f t="shared" si="16"/>
        <v>106.47</v>
      </c>
      <c r="L103" s="90">
        <f t="shared" si="17"/>
        <v>0</v>
      </c>
      <c r="M103" s="90">
        <v>0</v>
      </c>
      <c r="N103" s="90">
        <f t="shared" si="18"/>
        <v>1800.47</v>
      </c>
      <c r="O103" s="17"/>
      <c r="R103" s="42"/>
      <c r="S103" s="43"/>
    </row>
    <row r="104" spans="4:19" ht="47.25" customHeight="1" x14ac:dyDescent="0.25">
      <c r="D104" s="209"/>
      <c r="E104" s="209" t="s">
        <v>214</v>
      </c>
      <c r="F104" s="95" t="s">
        <v>439</v>
      </c>
      <c r="G104" s="262" t="s">
        <v>96</v>
      </c>
      <c r="H104" s="94">
        <v>15</v>
      </c>
      <c r="I104" s="90">
        <v>1694</v>
      </c>
      <c r="J104" s="90">
        <v>1694</v>
      </c>
      <c r="K104" s="221">
        <f t="shared" si="16"/>
        <v>106.47</v>
      </c>
      <c r="L104" s="90">
        <f t="shared" si="17"/>
        <v>0</v>
      </c>
      <c r="M104" s="90">
        <v>0</v>
      </c>
      <c r="N104" s="90">
        <f t="shared" si="18"/>
        <v>1800.47</v>
      </c>
      <c r="O104" s="17"/>
      <c r="R104" s="42"/>
      <c r="S104" s="43"/>
    </row>
    <row r="105" spans="4:19" ht="36.9" customHeight="1" x14ac:dyDescent="0.3">
      <c r="D105" s="209"/>
      <c r="E105" s="209"/>
      <c r="F105" s="97" t="s">
        <v>45</v>
      </c>
      <c r="G105" s="95"/>
      <c r="H105" s="94"/>
      <c r="I105" s="90"/>
      <c r="J105" s="90"/>
      <c r="K105" s="221"/>
      <c r="L105" s="90"/>
      <c r="M105" s="90"/>
      <c r="N105" s="90"/>
      <c r="O105" s="17"/>
      <c r="R105" s="42"/>
      <c r="S105" s="43"/>
    </row>
    <row r="106" spans="4:19" ht="36.9" customHeight="1" x14ac:dyDescent="0.25">
      <c r="D106" s="209" t="s">
        <v>235</v>
      </c>
      <c r="E106" s="209" t="s">
        <v>450</v>
      </c>
      <c r="F106" s="95" t="s">
        <v>46</v>
      </c>
      <c r="G106" s="95" t="s">
        <v>47</v>
      </c>
      <c r="H106" s="94">
        <v>15</v>
      </c>
      <c r="I106" s="90">
        <v>4137</v>
      </c>
      <c r="J106" s="90">
        <v>4137</v>
      </c>
      <c r="K106" s="221">
        <f>IFERROR(IF(ROUND((((J106/H106*30.4)-VLOOKUP((J106/H106*30.4),TARIFA,1))*VLOOKUP((J106/H106*30.4),TARIFA,3)+VLOOKUP((J106/H106*30.4),TARIFA,2)-VLOOKUP((J106/H106*30.4),SUBSIDIO,2))/30.4*H106,2)&lt;0,ROUND(-(((J106/H106*30.4)-VLOOKUP((J106/H106*30.4),TARIFA,1))*VLOOKUP((J106/H106*30.4),TARIFA,3)+VLOOKUP((J106/H106*30.4),TARIFA,2)-VLOOKUP((J106/H106*30.4),SUBSIDIO,2))/30.4*H106,2),0),0)</f>
        <v>0</v>
      </c>
      <c r="L106" s="90">
        <f t="shared" si="17"/>
        <v>314.92</v>
      </c>
      <c r="M106" s="90">
        <v>0</v>
      </c>
      <c r="N106" s="90">
        <f t="shared" si="18"/>
        <v>3822.08</v>
      </c>
      <c r="O106" s="17"/>
      <c r="R106" s="42"/>
      <c r="S106" s="43"/>
    </row>
    <row r="107" spans="4:19" ht="36.9" customHeight="1" x14ac:dyDescent="0.25">
      <c r="D107" s="209" t="s">
        <v>236</v>
      </c>
      <c r="E107" s="209" t="s">
        <v>450</v>
      </c>
      <c r="F107" s="95" t="s">
        <v>48</v>
      </c>
      <c r="G107" s="262" t="s">
        <v>49</v>
      </c>
      <c r="H107" s="94">
        <v>15</v>
      </c>
      <c r="I107" s="90">
        <v>3355</v>
      </c>
      <c r="J107" s="90">
        <v>3355</v>
      </c>
      <c r="K107" s="221">
        <f>IFERROR(IF(ROUND((((J107/H107*30.4)-VLOOKUP((J107/H107*30.4),TARIFA,1))*VLOOKUP((J107/H107*30.4),TARIFA,3)+VLOOKUP((J107/H107*30.4),TARIFA,2)-VLOOKUP((J107/H107*30.4),SUBSIDIO,2))/30.4*H107,2)&lt;0,ROUND(-(((J107/H107*30.4)-VLOOKUP((J107/H107*30.4),TARIFA,1))*VLOOKUP((J107/H107*30.4),TARIFA,3)+VLOOKUP((J107/H107*30.4),TARIFA,2)-VLOOKUP((J107/H107*30.4),SUBSIDIO,2))/30.4*H107,2),0),0)</f>
        <v>0</v>
      </c>
      <c r="L107" s="90">
        <f t="shared" si="17"/>
        <v>104.74</v>
      </c>
      <c r="M107" s="90">
        <v>0</v>
      </c>
      <c r="N107" s="90">
        <f t="shared" si="18"/>
        <v>3250.26</v>
      </c>
      <c r="O107" s="17"/>
      <c r="R107" s="42"/>
      <c r="S107" s="43"/>
    </row>
    <row r="108" spans="4:19" ht="36.9" customHeight="1" x14ac:dyDescent="0.25">
      <c r="D108" s="212"/>
      <c r="E108" s="208"/>
      <c r="F108" s="3"/>
      <c r="G108" s="3"/>
      <c r="H108" s="4"/>
      <c r="I108" s="17"/>
      <c r="J108" s="17"/>
      <c r="K108" s="222"/>
      <c r="L108" s="17"/>
      <c r="M108" s="17"/>
      <c r="N108" s="17"/>
      <c r="O108" s="17"/>
      <c r="R108" s="42"/>
      <c r="S108" s="43"/>
    </row>
    <row r="109" spans="4:19" ht="36.9" customHeight="1" x14ac:dyDescent="0.25">
      <c r="D109" s="213"/>
      <c r="E109" s="213"/>
      <c r="F109" s="18"/>
      <c r="G109" s="18"/>
      <c r="H109" s="59"/>
      <c r="I109" s="22"/>
      <c r="J109" s="23"/>
      <c r="K109" s="224"/>
      <c r="L109" s="24"/>
      <c r="M109" s="24"/>
      <c r="N109" s="24"/>
      <c r="O109" s="24"/>
    </row>
    <row r="110" spans="4:19" ht="36.9" customHeight="1" thickBot="1" x14ac:dyDescent="0.35">
      <c r="D110" s="525" t="s">
        <v>6</v>
      </c>
      <c r="E110" s="526"/>
      <c r="F110" s="526"/>
      <c r="G110" s="526"/>
      <c r="H110" s="526"/>
      <c r="I110" s="313">
        <f>I107+I106+I104+I103+I102+I101+I100+I99+I98+I87+I85+I80+I79+I77+I76+I75+I74+I73+I72+I61+I59+I58+I56+I55+I53+I52+I51+I50+I48+I34+I32+I31+I30+I28+I26+I24+I23+I21+I20+I19+I17+I16+I14+I12</f>
        <v>219497</v>
      </c>
      <c r="J110" s="313">
        <f t="shared" ref="J110:N110" si="20">J107+J106+J104+J103+J102+J101+J100+J99+J98+J87+J85+J80+J79+J77+J76+J75+J74+J73+J72+J61+J59+J58+J56+J55+J53+J52+J51+J50+J48+J34+J32+J31+J30+J28+J26+J24+J23+J21+J20+J19+J17+J16+J14+J12</f>
        <v>219497</v>
      </c>
      <c r="K110" s="313">
        <f t="shared" si="20"/>
        <v>753.95</v>
      </c>
      <c r="L110" s="313">
        <f t="shared" si="20"/>
        <v>22614.21</v>
      </c>
      <c r="M110" s="313">
        <f t="shared" si="20"/>
        <v>5</v>
      </c>
      <c r="N110" s="313">
        <f t="shared" si="20"/>
        <v>197636.74000000005</v>
      </c>
      <c r="O110" s="314"/>
      <c r="R110" s="43"/>
      <c r="S110" s="43"/>
    </row>
    <row r="111" spans="4:19" ht="13.8" thickTop="1" x14ac:dyDescent="0.25">
      <c r="I111" s="266">
        <f>SUM(I98:I107)</f>
        <v>19350</v>
      </c>
      <c r="J111" s="266">
        <f t="shared" ref="J111:N111" si="21">SUM(J98:J107)</f>
        <v>19350</v>
      </c>
      <c r="K111" s="266">
        <f t="shared" si="21"/>
        <v>745.29000000000008</v>
      </c>
      <c r="L111" s="266">
        <f t="shared" si="21"/>
        <v>419.66</v>
      </c>
      <c r="M111" s="266">
        <f t="shared" si="21"/>
        <v>0</v>
      </c>
      <c r="N111" s="266">
        <f t="shared" si="21"/>
        <v>19675.629999999997</v>
      </c>
    </row>
    <row r="112" spans="4:19" x14ac:dyDescent="0.25">
      <c r="I112" s="266"/>
      <c r="J112" s="266"/>
      <c r="K112" s="267"/>
      <c r="L112" s="266"/>
      <c r="M112" s="266"/>
      <c r="N112" s="266">
        <f>N107+N106+N104+N103+N102+N101+N100+N99+N98+N87+N85+N80+N79+N77+N76+N75+N74+N73+N72+N61+N59+N58+N56+N55+N53+N52+N51+N50+N48+N34+N32+N31+N30+N26+N24+N23+N21+N20+N19+N17+N16+N14+N12</f>
        <v>191636.31000000006</v>
      </c>
    </row>
    <row r="113" spans="6:15" x14ac:dyDescent="0.25">
      <c r="I113" s="266">
        <f>I111+I88+I61+I35</f>
        <v>172134</v>
      </c>
      <c r="J113" s="266">
        <f>J111+J88+J61+J35</f>
        <v>172134</v>
      </c>
      <c r="K113" s="267">
        <f>K111+K88+K61+K35</f>
        <v>753.95</v>
      </c>
      <c r="L113" s="266">
        <f>L111+L88+L61+L35</f>
        <v>15667.060000000001</v>
      </c>
      <c r="M113" s="266"/>
      <c r="N113" s="266">
        <f>N111+N88+N61+N35</f>
        <v>157220.88999999998</v>
      </c>
    </row>
    <row r="114" spans="6:15" x14ac:dyDescent="0.25">
      <c r="I114" s="266"/>
      <c r="J114" s="266"/>
      <c r="K114" s="267"/>
      <c r="L114" s="266"/>
      <c r="M114" s="266"/>
      <c r="N114" s="266"/>
    </row>
    <row r="115" spans="6:15" x14ac:dyDescent="0.25">
      <c r="I115" s="263"/>
      <c r="J115" s="263"/>
      <c r="K115" s="264"/>
      <c r="L115" s="263"/>
      <c r="M115" s="58"/>
      <c r="N115" s="58"/>
    </row>
    <row r="116" spans="6:15" x14ac:dyDescent="0.25">
      <c r="I116" s="265"/>
      <c r="J116" s="265"/>
      <c r="K116" s="264"/>
      <c r="L116" s="265"/>
    </row>
    <row r="117" spans="6:15" x14ac:dyDescent="0.25">
      <c r="I117" s="265"/>
      <c r="J117" s="263"/>
      <c r="K117" s="264"/>
      <c r="L117" s="265"/>
    </row>
    <row r="118" spans="6:15" x14ac:dyDescent="0.25">
      <c r="F118" s="13" t="s">
        <v>97</v>
      </c>
      <c r="I118" s="265"/>
      <c r="J118" s="265"/>
      <c r="K118" s="264"/>
      <c r="L118" s="265"/>
      <c r="N118" s="51"/>
      <c r="O118" s="51"/>
    </row>
    <row r="119" spans="6:15" x14ac:dyDescent="0.25">
      <c r="F119" s="26" t="s">
        <v>420</v>
      </c>
      <c r="I119" s="265"/>
      <c r="J119" s="265"/>
      <c r="K119" s="264"/>
      <c r="L119" s="265"/>
      <c r="N119" s="541" t="s">
        <v>421</v>
      </c>
      <c r="O119" s="541"/>
    </row>
    <row r="120" spans="6:15" x14ac:dyDescent="0.25">
      <c r="F120" s="27" t="s">
        <v>11</v>
      </c>
      <c r="G120" s="27"/>
      <c r="I120" s="265"/>
      <c r="J120" s="265"/>
      <c r="K120" s="264"/>
      <c r="L120" s="265"/>
      <c r="N120" s="542" t="s">
        <v>136</v>
      </c>
      <c r="O120" s="542"/>
    </row>
    <row r="121" spans="6:15" x14ac:dyDescent="0.25">
      <c r="I121" s="265"/>
      <c r="J121" s="265"/>
      <c r="K121" s="264"/>
      <c r="L121" s="264"/>
      <c r="M121" s="42"/>
    </row>
    <row r="122" spans="6:15" x14ac:dyDescent="0.25">
      <c r="I122" s="263"/>
      <c r="J122" s="265"/>
      <c r="K122" s="264"/>
      <c r="L122" s="264"/>
      <c r="M122" s="42"/>
    </row>
    <row r="123" spans="6:15" x14ac:dyDescent="0.25">
      <c r="I123" s="265"/>
      <c r="J123" s="265"/>
      <c r="K123" s="264"/>
      <c r="L123" s="264"/>
      <c r="M123" s="42"/>
    </row>
    <row r="124" spans="6:15" x14ac:dyDescent="0.25">
      <c r="I124" s="265"/>
      <c r="J124" s="265"/>
      <c r="K124" s="264"/>
      <c r="L124" s="264"/>
      <c r="M124" s="42"/>
      <c r="N124" s="58">
        <f>SUM(N98:N107)</f>
        <v>19675.629999999997</v>
      </c>
      <c r="O124" s="58">
        <f>N107+N106+N104+N103+N102+N101+N100+N99+N98+N87+N85+N80+N79+N77+N76+N75+N74+N73+N72+N61+N59+N58+N56+N55+N53+N52+N51+N50+N48+N34+N32+N31+N30+N26+N24+N23+N21+N20+N19+N17+N16+N14+N12</f>
        <v>191636.31000000006</v>
      </c>
    </row>
    <row r="125" spans="6:15" x14ac:dyDescent="0.25">
      <c r="F125" s="28"/>
      <c r="I125" s="263">
        <f>SUM(I98:I107)</f>
        <v>19350</v>
      </c>
      <c r="J125" s="263">
        <f t="shared" ref="J125:M125" si="22">SUM(J98:J107)</f>
        <v>19350</v>
      </c>
      <c r="K125" s="263">
        <f>SUM(K98:K107)</f>
        <v>745.29000000000008</v>
      </c>
      <c r="L125" s="263">
        <f>SUM(L98:L107)</f>
        <v>419.66</v>
      </c>
      <c r="M125" s="263">
        <f t="shared" si="22"/>
        <v>0</v>
      </c>
      <c r="N125" s="263">
        <f>SUM(N98:N107)</f>
        <v>19675.629999999997</v>
      </c>
    </row>
    <row r="126" spans="6:15" x14ac:dyDescent="0.25">
      <c r="F126" s="29"/>
      <c r="G126" s="27"/>
      <c r="H126" s="27"/>
      <c r="I126" s="27"/>
      <c r="J126" s="27"/>
      <c r="K126" s="225"/>
      <c r="L126" s="27"/>
      <c r="M126" s="27"/>
      <c r="N126" s="27"/>
      <c r="O126" s="27"/>
    </row>
    <row r="127" spans="6:15" x14ac:dyDescent="0.25">
      <c r="G127" s="293"/>
    </row>
    <row r="129" spans="6:15" x14ac:dyDescent="0.25">
      <c r="I129" s="58">
        <f>I125+I88+I62+I35</f>
        <v>231524</v>
      </c>
      <c r="N129" s="58">
        <f>N125+N88+N62+N35</f>
        <v>209663.74</v>
      </c>
    </row>
    <row r="131" spans="6:15" x14ac:dyDescent="0.25">
      <c r="F131" s="26"/>
      <c r="I131" s="26"/>
      <c r="O131" s="58">
        <f>N111+N88+N61+N35</f>
        <v>157220.88999999998</v>
      </c>
    </row>
    <row r="132" spans="6:15" x14ac:dyDescent="0.25">
      <c r="L132" s="43">
        <f>L124+L88+L62+L35</f>
        <v>22194.550000000003</v>
      </c>
    </row>
    <row r="134" spans="6:15" x14ac:dyDescent="0.25">
      <c r="N134" s="58">
        <f>L125+L88+L62+L35</f>
        <v>22614.21</v>
      </c>
    </row>
    <row r="135" spans="6:15" x14ac:dyDescent="0.25">
      <c r="K135" s="42">
        <f>J110+K110-L110</f>
        <v>197636.74000000002</v>
      </c>
    </row>
    <row r="142" spans="6:15" x14ac:dyDescent="0.25">
      <c r="N142" s="58">
        <f>N107+N106+N104+N103+N102+N101+N100+N99+N98+N87+N85+N80+N79+N77+N76+N75+N74+N73+N72+N61+N59+N58+N56+N55+N53+N52+N51+N50+N48+N34+N32+N31+N30+N28+N26+N24+N23+N21+N20+N19+N17+N16+N14+N12</f>
        <v>197636.74000000005</v>
      </c>
    </row>
    <row r="146" spans="6:15" x14ac:dyDescent="0.25">
      <c r="F146" s="26"/>
      <c r="I146" s="26"/>
    </row>
    <row r="147" spans="6:15" x14ac:dyDescent="0.25">
      <c r="F147" s="27"/>
      <c r="G147" s="27"/>
      <c r="H147" s="27"/>
      <c r="I147" s="27"/>
      <c r="J147" s="27"/>
      <c r="K147" s="225"/>
      <c r="L147" s="27"/>
      <c r="M147" s="27"/>
      <c r="N147" s="27"/>
      <c r="O147" s="27"/>
    </row>
  </sheetData>
  <sheetProtection selectLockedCells="1" selectUnlockedCells="1"/>
  <mergeCells count="27">
    <mergeCell ref="D4:O4"/>
    <mergeCell ref="D90:O90"/>
    <mergeCell ref="D91:O91"/>
    <mergeCell ref="D92:O92"/>
    <mergeCell ref="D3:O3"/>
    <mergeCell ref="D5:O5"/>
    <mergeCell ref="L7:N7"/>
    <mergeCell ref="J7:K7"/>
    <mergeCell ref="D6:O6"/>
    <mergeCell ref="D39:O39"/>
    <mergeCell ref="D40:O40"/>
    <mergeCell ref="D64:O64"/>
    <mergeCell ref="D65:O65"/>
    <mergeCell ref="D89:O89"/>
    <mergeCell ref="D66:O66"/>
    <mergeCell ref="D110:H110"/>
    <mergeCell ref="N119:O119"/>
    <mergeCell ref="N120:O120"/>
    <mergeCell ref="D37:O37"/>
    <mergeCell ref="J41:K41"/>
    <mergeCell ref="L41:N41"/>
    <mergeCell ref="D63:O63"/>
    <mergeCell ref="J67:K67"/>
    <mergeCell ref="L67:N67"/>
    <mergeCell ref="D38:O38"/>
    <mergeCell ref="J93:K93"/>
    <mergeCell ref="L93:N93"/>
  </mergeCells>
  <phoneticPr fontId="0" type="noConversion"/>
  <pageMargins left="0" right="0" top="0" bottom="0" header="0.11811023622047245" footer="0.23622047244094491"/>
  <pageSetup scale="5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IG192"/>
  <sheetViews>
    <sheetView topLeftCell="A170" zoomScale="68" zoomScaleNormal="68" workbookViewId="0">
      <selection activeCell="D125" sqref="D125:O178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4" width="9" style="232" customWidth="1"/>
    <col min="5" max="5" width="5.88671875" style="232" customWidth="1"/>
    <col min="6" max="6" width="89" style="1" customWidth="1"/>
    <col min="7" max="7" width="78" style="1" customWidth="1"/>
    <col min="8" max="8" width="8.33203125" style="1" customWidth="1"/>
    <col min="9" max="9" width="26.33203125" style="1" customWidth="1"/>
    <col min="10" max="10" width="24.5546875" style="1" customWidth="1"/>
    <col min="11" max="11" width="19.44140625" style="45" bestFit="1" customWidth="1"/>
    <col min="12" max="12" width="21.5546875" style="45" bestFit="1" customWidth="1"/>
    <col min="13" max="13" width="19.44140625" style="1" hidden="1" customWidth="1"/>
    <col min="14" max="14" width="24.88671875" style="1" customWidth="1"/>
    <col min="15" max="15" width="155.886718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227"/>
      <c r="E2" s="227"/>
      <c r="F2" s="10"/>
      <c r="G2" s="10"/>
      <c r="H2" s="10"/>
      <c r="I2" s="10"/>
      <c r="J2" s="10"/>
      <c r="K2" s="235"/>
      <c r="L2" s="235"/>
      <c r="M2" s="10"/>
      <c r="N2" s="10"/>
      <c r="O2" s="10"/>
    </row>
    <row r="3" spans="4:19" ht="35.1" customHeight="1" x14ac:dyDescent="0.4">
      <c r="D3" s="552" t="s">
        <v>177</v>
      </c>
      <c r="E3" s="553"/>
      <c r="F3" s="553"/>
      <c r="G3" s="553"/>
      <c r="H3" s="553"/>
      <c r="I3" s="553"/>
      <c r="J3" s="553"/>
      <c r="K3" s="553"/>
      <c r="L3" s="553"/>
      <c r="M3" s="553"/>
      <c r="N3" s="553"/>
      <c r="O3" s="554"/>
    </row>
    <row r="4" spans="4:19" ht="35.1" customHeight="1" x14ac:dyDescent="0.4">
      <c r="D4" s="567" t="s">
        <v>139</v>
      </c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9"/>
    </row>
    <row r="5" spans="4:19" ht="35.1" customHeight="1" x14ac:dyDescent="0.4">
      <c r="D5" s="555" t="str">
        <f>PERMANENTES!D5</f>
        <v>NOMINA 2DA QUINCENA DE DICIEMBRE DE 2021</v>
      </c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7"/>
    </row>
    <row r="6" spans="4:19" ht="35.1" customHeight="1" x14ac:dyDescent="0.4">
      <c r="D6" s="561" t="s">
        <v>126</v>
      </c>
      <c r="E6" s="562"/>
      <c r="F6" s="562"/>
      <c r="G6" s="562"/>
      <c r="H6" s="562"/>
      <c r="I6" s="562"/>
      <c r="J6" s="562"/>
      <c r="K6" s="562"/>
      <c r="L6" s="562"/>
      <c r="M6" s="562"/>
      <c r="N6" s="562"/>
      <c r="O6" s="563"/>
    </row>
    <row r="7" spans="4:19" ht="35.1" customHeight="1" x14ac:dyDescent="0.4">
      <c r="D7" s="564" t="s">
        <v>237</v>
      </c>
      <c r="E7" s="493" t="s">
        <v>208</v>
      </c>
      <c r="F7" s="446"/>
      <c r="G7" s="494"/>
      <c r="H7" s="453" t="s">
        <v>4</v>
      </c>
      <c r="I7" s="558" t="s">
        <v>0</v>
      </c>
      <c r="J7" s="559"/>
      <c r="K7" s="560"/>
      <c r="L7" s="448"/>
      <c r="M7" s="449"/>
      <c r="N7" s="447"/>
      <c r="O7" s="450"/>
    </row>
    <row r="8" spans="4:19" ht="35.1" customHeight="1" x14ac:dyDescent="0.4">
      <c r="D8" s="565"/>
      <c r="E8" s="495" t="s">
        <v>209</v>
      </c>
      <c r="F8" s="450"/>
      <c r="G8" s="450"/>
      <c r="H8" s="452" t="s">
        <v>5</v>
      </c>
      <c r="I8" s="453" t="s">
        <v>1</v>
      </c>
      <c r="J8" s="453" t="s">
        <v>125</v>
      </c>
      <c r="K8" s="454" t="s">
        <v>129</v>
      </c>
      <c r="L8" s="454"/>
      <c r="M8" s="447" t="s">
        <v>143</v>
      </c>
      <c r="N8" s="447" t="s">
        <v>128</v>
      </c>
      <c r="O8" s="455"/>
    </row>
    <row r="9" spans="4:19" ht="35.1" customHeight="1" x14ac:dyDescent="0.4">
      <c r="D9" s="565"/>
      <c r="E9" s="495"/>
      <c r="F9" s="453"/>
      <c r="G9" s="455" t="s">
        <v>10</v>
      </c>
      <c r="H9" s="447"/>
      <c r="I9" s="447" t="s">
        <v>7</v>
      </c>
      <c r="J9" s="447" t="s">
        <v>128</v>
      </c>
      <c r="K9" s="452" t="s">
        <v>130</v>
      </c>
      <c r="L9" s="452" t="s">
        <v>131</v>
      </c>
      <c r="M9" s="447" t="s">
        <v>145</v>
      </c>
      <c r="N9" s="447" t="s">
        <v>134</v>
      </c>
      <c r="O9" s="453" t="s">
        <v>137</v>
      </c>
    </row>
    <row r="10" spans="4:19" ht="35.1" customHeight="1" x14ac:dyDescent="0.4">
      <c r="D10" s="566"/>
      <c r="E10" s="456"/>
      <c r="F10" s="453" t="s">
        <v>69</v>
      </c>
      <c r="G10" s="453" t="s">
        <v>9</v>
      </c>
      <c r="H10" s="453"/>
      <c r="I10" s="453"/>
      <c r="J10" s="453"/>
      <c r="K10" s="454"/>
      <c r="L10" s="457"/>
      <c r="M10" s="458"/>
      <c r="N10" s="453"/>
      <c r="O10" s="453"/>
    </row>
    <row r="11" spans="4:19" s="7" customFormat="1" ht="60" customHeight="1" x14ac:dyDescent="0.4">
      <c r="D11" s="496"/>
      <c r="E11" s="497"/>
      <c r="F11" s="403" t="s">
        <v>19</v>
      </c>
      <c r="G11" s="404"/>
      <c r="H11" s="405"/>
      <c r="I11" s="406"/>
      <c r="J11" s="406"/>
      <c r="K11" s="407"/>
      <c r="L11" s="408"/>
      <c r="M11" s="409"/>
      <c r="N11" s="406"/>
      <c r="O11" s="406"/>
    </row>
    <row r="12" spans="4:19" s="7" customFormat="1" ht="60" customHeight="1" x14ac:dyDescent="0.4">
      <c r="D12" s="498"/>
      <c r="E12" s="499" t="s">
        <v>450</v>
      </c>
      <c r="F12" s="410" t="s">
        <v>358</v>
      </c>
      <c r="G12" s="411" t="s">
        <v>359</v>
      </c>
      <c r="H12" s="412">
        <v>15</v>
      </c>
      <c r="I12" s="398">
        <v>3888</v>
      </c>
      <c r="J12" s="393">
        <v>3888</v>
      </c>
      <c r="K12" s="392"/>
      <c r="L12" s="392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287.83</v>
      </c>
      <c r="M12" s="393"/>
      <c r="N12" s="393">
        <f t="shared" ref="N12" si="0">J12+K12-L12-M12</f>
        <v>3600.17</v>
      </c>
      <c r="O12" s="500"/>
    </row>
    <row r="13" spans="4:19" ht="60" customHeight="1" x14ac:dyDescent="0.4">
      <c r="D13" s="459"/>
      <c r="E13" s="501" t="s">
        <v>214</v>
      </c>
      <c r="F13" s="410" t="s">
        <v>336</v>
      </c>
      <c r="G13" s="411" t="s">
        <v>17</v>
      </c>
      <c r="H13" s="412">
        <v>15</v>
      </c>
      <c r="I13" s="392">
        <v>3052</v>
      </c>
      <c r="J13" s="393">
        <f>I13</f>
        <v>3052</v>
      </c>
      <c r="K13" s="392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392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51.49</v>
      </c>
      <c r="M13" s="393">
        <v>0</v>
      </c>
      <c r="N13" s="393">
        <f>J13+K13-L13-M13</f>
        <v>3000.51</v>
      </c>
      <c r="O13" s="393"/>
      <c r="R13" s="45"/>
      <c r="S13" s="47"/>
    </row>
    <row r="14" spans="4:19" ht="60" customHeight="1" x14ac:dyDescent="0.4">
      <c r="D14" s="459"/>
      <c r="E14" s="501" t="s">
        <v>214</v>
      </c>
      <c r="F14" s="410" t="s">
        <v>320</v>
      </c>
      <c r="G14" s="411" t="s">
        <v>17</v>
      </c>
      <c r="H14" s="412">
        <v>15</v>
      </c>
      <c r="I14" s="392">
        <v>3052</v>
      </c>
      <c r="J14" s="393">
        <v>3052</v>
      </c>
      <c r="K14" s="392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392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51.49</v>
      </c>
      <c r="M14" s="393"/>
      <c r="N14" s="393">
        <f>J14+K14-L14-M14</f>
        <v>3000.51</v>
      </c>
      <c r="O14" s="393"/>
      <c r="R14" s="45"/>
      <c r="S14" s="47"/>
    </row>
    <row r="15" spans="4:19" ht="60" customHeight="1" x14ac:dyDescent="0.4">
      <c r="D15" s="459"/>
      <c r="E15" s="501"/>
      <c r="F15" s="413" t="s">
        <v>160</v>
      </c>
      <c r="G15" s="411"/>
      <c r="H15" s="412"/>
      <c r="I15" s="398"/>
      <c r="J15" s="393"/>
      <c r="K15" s="392"/>
      <c r="L15" s="392"/>
      <c r="M15" s="393"/>
      <c r="N15" s="393"/>
      <c r="O15" s="393"/>
      <c r="R15" s="45"/>
      <c r="S15" s="47"/>
    </row>
    <row r="16" spans="4:19" ht="60" customHeight="1" x14ac:dyDescent="0.4">
      <c r="D16" s="459"/>
      <c r="E16" s="501" t="s">
        <v>450</v>
      </c>
      <c r="F16" s="410" t="s">
        <v>316</v>
      </c>
      <c r="G16" s="411" t="s">
        <v>116</v>
      </c>
      <c r="H16" s="412">
        <v>15</v>
      </c>
      <c r="I16" s="398">
        <v>8000</v>
      </c>
      <c r="J16" s="393">
        <v>8000</v>
      </c>
      <c r="K16" s="392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392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997.7</v>
      </c>
      <c r="M16" s="393">
        <v>0</v>
      </c>
      <c r="N16" s="393">
        <f>J16+K16-L16-M16</f>
        <v>7002.3</v>
      </c>
      <c r="O16" s="393"/>
      <c r="R16" s="45"/>
      <c r="S16" s="47"/>
    </row>
    <row r="17" spans="4:19" ht="60" hidden="1" customHeight="1" x14ac:dyDescent="0.4">
      <c r="D17" s="459"/>
      <c r="E17" s="501"/>
      <c r="F17" s="413"/>
      <c r="G17" s="411"/>
      <c r="H17" s="412"/>
      <c r="I17" s="398">
        <v>0</v>
      </c>
      <c r="J17" s="393">
        <v>0</v>
      </c>
      <c r="K17" s="392"/>
      <c r="L17" s="392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393"/>
      <c r="N17" s="393">
        <f t="shared" ref="N17:N18" si="1">J17+K17-L17-M17</f>
        <v>0</v>
      </c>
      <c r="O17" s="393"/>
      <c r="R17" s="45"/>
      <c r="S17" s="47"/>
    </row>
    <row r="18" spans="4:19" ht="60" customHeight="1" x14ac:dyDescent="0.4">
      <c r="D18" s="459"/>
      <c r="E18" s="501" t="s">
        <v>450</v>
      </c>
      <c r="F18" s="410" t="s">
        <v>440</v>
      </c>
      <c r="G18" s="411" t="s">
        <v>15</v>
      </c>
      <c r="H18" s="412">
        <v>15</v>
      </c>
      <c r="I18" s="398">
        <v>3299</v>
      </c>
      <c r="J18" s="393">
        <v>3299</v>
      </c>
      <c r="K18" s="392"/>
      <c r="L18" s="392">
        <f>IFERROR(IF(ROUND((((J18/H18*30.4)-VLOOKUP((J18/H18*30.4),TARIFA,1))*VLOOKUP((J18/H18*30.4),TARIFA,3)+VLOOKUP((J18/H18*30.4),TARIFA,2)-VLOOKUP((J18/H18*30.4),SUBSIDIO,2))/30.4*H18,2)&gt;0,ROUND((((J18/H18*30.4)-VLOOKUP((J18/H18*30.4),TARIFA,1))*VLOOKUP((J18/H18*30.4),TARIFA,3)+VLOOKUP((J18/H18*30.4),TARIFA,2)-VLOOKUP((J18/H18*30.4),SUBSIDIO,2))/30.4*H18,2),0),0)</f>
        <v>98.64</v>
      </c>
      <c r="M18" s="393"/>
      <c r="N18" s="393">
        <f t="shared" si="1"/>
        <v>3200.36</v>
      </c>
      <c r="O18" s="393"/>
      <c r="R18" s="45"/>
      <c r="S18" s="47"/>
    </row>
    <row r="19" spans="4:19" ht="60" customHeight="1" x14ac:dyDescent="0.4">
      <c r="D19" s="459"/>
      <c r="E19" s="501"/>
      <c r="F19" s="413" t="s">
        <v>157</v>
      </c>
      <c r="G19" s="411"/>
      <c r="H19" s="412"/>
      <c r="I19" s="398"/>
      <c r="J19" s="393"/>
      <c r="K19" s="392"/>
      <c r="L19" s="392"/>
      <c r="M19" s="393"/>
      <c r="N19" s="393"/>
      <c r="O19" s="393"/>
      <c r="R19" s="45"/>
      <c r="S19" s="47"/>
    </row>
    <row r="20" spans="4:19" ht="60" customHeight="1" x14ac:dyDescent="0.4">
      <c r="D20" s="461"/>
      <c r="E20" s="502" t="s">
        <v>450</v>
      </c>
      <c r="F20" s="410" t="s">
        <v>318</v>
      </c>
      <c r="G20" s="397" t="s">
        <v>294</v>
      </c>
      <c r="H20" s="414">
        <v>15</v>
      </c>
      <c r="I20" s="391">
        <v>3888</v>
      </c>
      <c r="J20" s="391">
        <v>3888</v>
      </c>
      <c r="K20" s="392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393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287.83</v>
      </c>
      <c r="M20" s="393">
        <v>0</v>
      </c>
      <c r="N20" s="393">
        <f t="shared" ref="N20" si="2">J20+K20-L20</f>
        <v>3600.17</v>
      </c>
      <c r="O20" s="393"/>
      <c r="R20" s="45"/>
      <c r="S20" s="47"/>
    </row>
    <row r="21" spans="4:19" ht="60" customHeight="1" x14ac:dyDescent="0.4">
      <c r="D21" s="461" t="s">
        <v>449</v>
      </c>
      <c r="E21" s="502" t="s">
        <v>214</v>
      </c>
      <c r="F21" s="410" t="s">
        <v>448</v>
      </c>
      <c r="G21" s="397" t="s">
        <v>294</v>
      </c>
      <c r="H21" s="412">
        <v>15</v>
      </c>
      <c r="I21" s="392">
        <v>3052</v>
      </c>
      <c r="J21" s="393">
        <v>3052</v>
      </c>
      <c r="K21" s="392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392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51.49</v>
      </c>
      <c r="M21" s="393"/>
      <c r="N21" s="393">
        <f>J21+K21-L21-M21</f>
        <v>3000.51</v>
      </c>
      <c r="O21" s="393"/>
      <c r="R21" s="45"/>
      <c r="S21" s="47"/>
    </row>
    <row r="22" spans="4:19" ht="60" customHeight="1" x14ac:dyDescent="0.4">
      <c r="D22" s="386" t="s">
        <v>256</v>
      </c>
      <c r="E22" s="461" t="s">
        <v>214</v>
      </c>
      <c r="F22" s="388" t="s">
        <v>406</v>
      </c>
      <c r="G22" s="388" t="s">
        <v>35</v>
      </c>
      <c r="H22" s="390">
        <v>15</v>
      </c>
      <c r="I22" s="398">
        <v>4225</v>
      </c>
      <c r="J22" s="393">
        <v>4225</v>
      </c>
      <c r="K22" s="392">
        <f t="shared" ref="K22:K24" si="3"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392">
        <f t="shared" ref="L22:L24" si="4">IFERROR(IF(ROUND((((J22/H22*30.4)-VLOOKUP((J22/H22*30.4),TARIFA,1))*VLOOKUP((J22/H22*30.4),TARIFA,3)+VLOOKUP((J22/H22*30.4),TARIFA,2)-VLOOKUP((J22/H22*30.4),SUBSIDIO,2))/30.4*H22,2)&gt;0,ROUND((((J22/H22*30.4)-VLOOKUP((J22/H22*30.4),TARIFA,1))*VLOOKUP((J22/H22*30.4),TARIFA,3)+VLOOKUP((J22/H22*30.4),TARIFA,2)-VLOOKUP((J22/H22*30.4),SUBSIDIO,2))/30.4*H22,2),0),0)</f>
        <v>324.49</v>
      </c>
      <c r="M22" s="393"/>
      <c r="N22" s="393">
        <f t="shared" ref="N22:N24" si="5">J22+K22-L22-M22</f>
        <v>3900.51</v>
      </c>
      <c r="O22" s="393"/>
      <c r="R22" s="45"/>
      <c r="S22" s="47"/>
    </row>
    <row r="23" spans="4:19" ht="60" customHeight="1" x14ac:dyDescent="0.4">
      <c r="D23" s="503" t="s">
        <v>245</v>
      </c>
      <c r="E23" s="461" t="s">
        <v>450</v>
      </c>
      <c r="F23" s="388" t="s">
        <v>405</v>
      </c>
      <c r="G23" s="388" t="s">
        <v>35</v>
      </c>
      <c r="H23" s="390">
        <v>15</v>
      </c>
      <c r="I23" s="398">
        <v>3052</v>
      </c>
      <c r="J23" s="393">
        <v>3052</v>
      </c>
      <c r="K23" s="392">
        <f t="shared" si="3"/>
        <v>0</v>
      </c>
      <c r="L23" s="392">
        <f t="shared" si="4"/>
        <v>51.49</v>
      </c>
      <c r="M23" s="393">
        <v>0</v>
      </c>
      <c r="N23" s="398">
        <f t="shared" si="5"/>
        <v>3000.51</v>
      </c>
      <c r="O23" s="393"/>
      <c r="R23" s="45"/>
      <c r="S23" s="47"/>
    </row>
    <row r="24" spans="4:19" ht="60" customHeight="1" x14ac:dyDescent="0.4">
      <c r="D24" s="459"/>
      <c r="E24" s="461" t="s">
        <v>214</v>
      </c>
      <c r="F24" s="410" t="s">
        <v>319</v>
      </c>
      <c r="G24" s="411" t="s">
        <v>35</v>
      </c>
      <c r="H24" s="412">
        <v>15</v>
      </c>
      <c r="I24" s="398">
        <v>3052</v>
      </c>
      <c r="J24" s="393">
        <v>3052</v>
      </c>
      <c r="K24" s="392">
        <f t="shared" si="3"/>
        <v>0</v>
      </c>
      <c r="L24" s="392">
        <f t="shared" si="4"/>
        <v>51.49</v>
      </c>
      <c r="M24" s="393"/>
      <c r="N24" s="398">
        <f t="shared" si="5"/>
        <v>3000.51</v>
      </c>
      <c r="O24" s="393"/>
      <c r="R24" s="45"/>
      <c r="S24" s="47"/>
    </row>
    <row r="25" spans="4:19" ht="60" customHeight="1" x14ac:dyDescent="0.4">
      <c r="D25" s="459"/>
      <c r="E25" s="501"/>
      <c r="F25" s="413" t="s">
        <v>111</v>
      </c>
      <c r="G25" s="411" t="s">
        <v>159</v>
      </c>
      <c r="H25" s="412"/>
      <c r="I25" s="398"/>
      <c r="J25" s="393"/>
      <c r="K25" s="392"/>
      <c r="L25" s="392"/>
      <c r="M25" s="393"/>
      <c r="N25" s="393"/>
      <c r="O25" s="393"/>
      <c r="R25" s="45"/>
      <c r="S25" s="47"/>
    </row>
    <row r="26" spans="4:19" ht="60" hidden="1" customHeight="1" x14ac:dyDescent="0.4">
      <c r="D26" s="459"/>
      <c r="E26" s="501"/>
      <c r="F26" s="410"/>
      <c r="G26" s="411"/>
      <c r="H26" s="412"/>
      <c r="I26" s="398"/>
      <c r="J26" s="398"/>
      <c r="K26" s="392"/>
      <c r="L26" s="392"/>
      <c r="M26" s="398"/>
      <c r="N26" s="398"/>
      <c r="O26" s="393"/>
      <c r="R26" s="45"/>
      <c r="S26" s="47"/>
    </row>
    <row r="27" spans="4:19" ht="60" customHeight="1" x14ac:dyDescent="0.4">
      <c r="D27" s="463"/>
      <c r="E27" s="504" t="s">
        <v>214</v>
      </c>
      <c r="F27" s="410" t="s">
        <v>321</v>
      </c>
      <c r="G27" s="415" t="s">
        <v>322</v>
      </c>
      <c r="H27" s="412">
        <v>15</v>
      </c>
      <c r="I27" s="398">
        <v>6112</v>
      </c>
      <c r="J27" s="398">
        <v>6112</v>
      </c>
      <c r="K27" s="392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392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611.29999999999995</v>
      </c>
      <c r="M27" s="398"/>
      <c r="N27" s="398">
        <f>J27+K27-L27-M27</f>
        <v>5500.7</v>
      </c>
      <c r="O27" s="393"/>
      <c r="R27" s="45"/>
      <c r="S27" s="47"/>
    </row>
    <row r="28" spans="4:19" ht="60" customHeight="1" x14ac:dyDescent="0.4">
      <c r="D28" s="463"/>
      <c r="E28" s="504"/>
      <c r="F28" s="413" t="s">
        <v>402</v>
      </c>
      <c r="G28" s="415"/>
      <c r="H28" s="412"/>
      <c r="I28" s="398"/>
      <c r="J28" s="393"/>
      <c r="K28" s="392"/>
      <c r="L28" s="392"/>
      <c r="M28" s="393"/>
      <c r="N28" s="393"/>
      <c r="O28" s="393"/>
      <c r="R28" s="45"/>
      <c r="S28" s="47"/>
    </row>
    <row r="29" spans="4:19" ht="60" customHeight="1" x14ac:dyDescent="0.4">
      <c r="D29" s="463"/>
      <c r="E29" s="504" t="s">
        <v>450</v>
      </c>
      <c r="F29" s="410" t="s">
        <v>324</v>
      </c>
      <c r="G29" s="415" t="s">
        <v>15</v>
      </c>
      <c r="H29" s="412">
        <v>15</v>
      </c>
      <c r="I29" s="398">
        <v>3299</v>
      </c>
      <c r="J29" s="393">
        <v>3299</v>
      </c>
      <c r="K29" s="392"/>
      <c r="L29" s="392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98.64</v>
      </c>
      <c r="M29" s="393"/>
      <c r="N29" s="393">
        <f t="shared" ref="N29" si="6">J29+K29-L29-M29</f>
        <v>3200.36</v>
      </c>
      <c r="O29" s="393"/>
      <c r="R29" s="45"/>
      <c r="S29" s="47"/>
    </row>
    <row r="30" spans="4:19" ht="60" customHeight="1" x14ac:dyDescent="0.4">
      <c r="D30" s="459"/>
      <c r="E30" s="501"/>
      <c r="F30" s="413" t="s">
        <v>100</v>
      </c>
      <c r="G30" s="411"/>
      <c r="H30" s="412"/>
      <c r="I30" s="398"/>
      <c r="J30" s="393"/>
      <c r="K30" s="392"/>
      <c r="L30" s="392"/>
      <c r="M30" s="393"/>
      <c r="N30" s="393"/>
      <c r="O30" s="393"/>
      <c r="R30" s="45"/>
      <c r="S30" s="47"/>
    </row>
    <row r="31" spans="4:19" ht="60" hidden="1" customHeight="1" x14ac:dyDescent="0.4">
      <c r="D31" s="459"/>
      <c r="E31" s="501"/>
      <c r="F31" s="410"/>
      <c r="G31" s="411"/>
      <c r="H31" s="412"/>
      <c r="I31" s="398"/>
      <c r="J31" s="393"/>
      <c r="K31" s="392"/>
      <c r="L31" s="392"/>
      <c r="M31" s="393"/>
      <c r="N31" s="393"/>
      <c r="O31" s="393"/>
      <c r="R31" s="45"/>
      <c r="S31" s="47"/>
    </row>
    <row r="32" spans="4:19" ht="60" hidden="1" customHeight="1" x14ac:dyDescent="0.4">
      <c r="D32" s="459"/>
      <c r="E32" s="501"/>
      <c r="F32" s="410"/>
      <c r="G32" s="411"/>
      <c r="H32" s="412"/>
      <c r="I32" s="398">
        <v>0</v>
      </c>
      <c r="J32" s="393">
        <v>0</v>
      </c>
      <c r="K32" s="392"/>
      <c r="L32" s="392">
        <v>0</v>
      </c>
      <c r="M32" s="393"/>
      <c r="N32" s="393">
        <f>J32-L32</f>
        <v>0</v>
      </c>
      <c r="O32" s="393"/>
      <c r="R32" s="45"/>
      <c r="S32" s="47"/>
    </row>
    <row r="33" spans="2:19" ht="60" customHeight="1" x14ac:dyDescent="0.4">
      <c r="D33" s="459"/>
      <c r="E33" s="501" t="s">
        <v>214</v>
      </c>
      <c r="F33" s="410" t="s">
        <v>326</v>
      </c>
      <c r="G33" s="411" t="s">
        <v>161</v>
      </c>
      <c r="H33" s="412">
        <v>15</v>
      </c>
      <c r="I33" s="393">
        <v>3665</v>
      </c>
      <c r="J33" s="393">
        <v>3665</v>
      </c>
      <c r="K33" s="392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392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263.57</v>
      </c>
      <c r="M33" s="393"/>
      <c r="N33" s="398">
        <f>J33+K33-L33-M33</f>
        <v>3401.43</v>
      </c>
      <c r="O33" s="393"/>
      <c r="R33" s="45"/>
      <c r="S33" s="47"/>
    </row>
    <row r="34" spans="2:19" ht="60" customHeight="1" x14ac:dyDescent="0.4">
      <c r="D34" s="459"/>
      <c r="E34" s="501" t="s">
        <v>450</v>
      </c>
      <c r="F34" s="410" t="s">
        <v>451</v>
      </c>
      <c r="G34" s="411" t="s">
        <v>15</v>
      </c>
      <c r="H34" s="412">
        <v>15</v>
      </c>
      <c r="I34" s="398">
        <v>3888</v>
      </c>
      <c r="J34" s="393">
        <v>3888</v>
      </c>
      <c r="K34" s="392"/>
      <c r="L34" s="392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287.83</v>
      </c>
      <c r="M34" s="393"/>
      <c r="N34" s="393">
        <f t="shared" ref="N34" si="7">J34+K34-L34-M34</f>
        <v>3600.17</v>
      </c>
      <c r="O34" s="393"/>
      <c r="R34" s="45"/>
      <c r="S34" s="47"/>
    </row>
    <row r="35" spans="2:19" ht="60" customHeight="1" x14ac:dyDescent="0.4">
      <c r="D35" s="459"/>
      <c r="E35" s="501"/>
      <c r="F35" s="402" t="s">
        <v>77</v>
      </c>
      <c r="G35" s="411"/>
      <c r="H35" s="412"/>
      <c r="I35" s="391"/>
      <c r="J35" s="391"/>
      <c r="K35" s="392"/>
      <c r="L35" s="393"/>
      <c r="M35" s="393"/>
      <c r="N35" s="393"/>
      <c r="O35" s="393"/>
      <c r="R35" s="45"/>
      <c r="S35" s="47"/>
    </row>
    <row r="36" spans="2:19" ht="60" customHeight="1" x14ac:dyDescent="0.4">
      <c r="D36" s="459"/>
      <c r="E36" s="501" t="s">
        <v>450</v>
      </c>
      <c r="F36" s="410" t="s">
        <v>349</v>
      </c>
      <c r="G36" s="411" t="s">
        <v>294</v>
      </c>
      <c r="H36" s="412">
        <v>15</v>
      </c>
      <c r="I36" s="391">
        <v>5503</v>
      </c>
      <c r="J36" s="391">
        <v>5503</v>
      </c>
      <c r="K36" s="392">
        <f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393">
        <f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502.4</v>
      </c>
      <c r="M36" s="393"/>
      <c r="N36" s="393">
        <f t="shared" ref="N36" si="8">J36+K36-L36</f>
        <v>5000.6000000000004</v>
      </c>
      <c r="O36" s="393"/>
      <c r="R36" s="45"/>
      <c r="S36" s="47"/>
    </row>
    <row r="37" spans="2:19" ht="60" customHeight="1" x14ac:dyDescent="0.4">
      <c r="D37" s="459"/>
      <c r="E37" s="501"/>
      <c r="F37" s="413" t="s">
        <v>82</v>
      </c>
      <c r="G37" s="411"/>
      <c r="H37" s="412"/>
      <c r="I37" s="398"/>
      <c r="J37" s="393"/>
      <c r="K37" s="392"/>
      <c r="L37" s="392"/>
      <c r="M37" s="393"/>
      <c r="N37" s="393"/>
      <c r="O37" s="393"/>
      <c r="R37" s="45"/>
      <c r="S37" s="47"/>
    </row>
    <row r="38" spans="2:19" ht="60" customHeight="1" x14ac:dyDescent="0.4">
      <c r="D38" s="459" t="s">
        <v>238</v>
      </c>
      <c r="E38" s="504" t="s">
        <v>450</v>
      </c>
      <c r="F38" s="410" t="s">
        <v>147</v>
      </c>
      <c r="G38" s="411" t="s">
        <v>156</v>
      </c>
      <c r="H38" s="412">
        <v>15</v>
      </c>
      <c r="I38" s="398">
        <v>3557</v>
      </c>
      <c r="J38" s="393">
        <v>3557</v>
      </c>
      <c r="K38" s="392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392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144.44</v>
      </c>
      <c r="M38" s="393">
        <v>0</v>
      </c>
      <c r="N38" s="393">
        <f>J38+K38-L38-M38</f>
        <v>3412.56</v>
      </c>
      <c r="O38" s="393"/>
      <c r="R38" s="45"/>
      <c r="S38" s="47"/>
    </row>
    <row r="39" spans="2:19" ht="45" hidden="1" customHeight="1" x14ac:dyDescent="0.35">
      <c r="D39" s="228"/>
      <c r="E39" s="233"/>
      <c r="F39" s="122"/>
      <c r="G39" s="111"/>
      <c r="H39" s="112"/>
      <c r="I39" s="115"/>
      <c r="J39" s="115"/>
      <c r="K39" s="115"/>
      <c r="L39" s="115"/>
      <c r="M39" s="115"/>
      <c r="N39" s="115"/>
      <c r="O39" s="17"/>
      <c r="R39" s="45"/>
      <c r="S39" s="47"/>
    </row>
    <row r="40" spans="2:19" ht="45" customHeight="1" x14ac:dyDescent="0.4">
      <c r="D40" s="228"/>
      <c r="E40" s="233"/>
      <c r="F40" s="116"/>
      <c r="G40" s="111"/>
      <c r="H40" s="112"/>
      <c r="I40" s="115"/>
      <c r="J40" s="114"/>
      <c r="K40" s="113"/>
      <c r="L40" s="113"/>
      <c r="M40" s="114"/>
      <c r="N40" s="114"/>
      <c r="O40" s="17"/>
      <c r="R40" s="45"/>
      <c r="S40" s="47"/>
    </row>
    <row r="41" spans="2:19" ht="38.1" customHeight="1" x14ac:dyDescent="0.25">
      <c r="D41" s="229"/>
      <c r="E41" s="231"/>
      <c r="F41" s="55"/>
      <c r="G41" s="60"/>
      <c r="H41" s="61"/>
      <c r="I41" s="62">
        <f t="shared" ref="I41:N41" si="9">SUM(I12:I38)</f>
        <v>64584</v>
      </c>
      <c r="J41" s="62">
        <f t="shared" si="9"/>
        <v>64584</v>
      </c>
      <c r="K41" s="62">
        <f t="shared" si="9"/>
        <v>0</v>
      </c>
      <c r="L41" s="62">
        <f t="shared" si="9"/>
        <v>4162.12</v>
      </c>
      <c r="M41" s="62">
        <f t="shared" si="9"/>
        <v>0</v>
      </c>
      <c r="N41" s="62">
        <f t="shared" si="9"/>
        <v>60421.880000000005</v>
      </c>
      <c r="O41" s="63" t="e">
        <f>N38+#REF!+N36+N33+N29+N27+N24+N23+N22+N20+N18+N16+N14+N13+N12</f>
        <v>#REF!</v>
      </c>
      <c r="R41" s="45"/>
      <c r="S41" s="47"/>
    </row>
    <row r="42" spans="2:19" ht="32.1" customHeight="1" x14ac:dyDescent="0.35">
      <c r="B42" s="56"/>
      <c r="C42" s="56"/>
      <c r="D42" s="550" t="s">
        <v>12</v>
      </c>
      <c r="E42" s="550"/>
      <c r="F42" s="550"/>
      <c r="G42" s="550"/>
      <c r="H42" s="550"/>
      <c r="I42" s="550"/>
      <c r="J42" s="550"/>
      <c r="K42" s="550"/>
      <c r="L42" s="550"/>
      <c r="M42" s="550"/>
      <c r="N42" s="550"/>
      <c r="O42" s="550"/>
      <c r="R42" s="45"/>
      <c r="S42" s="47"/>
    </row>
    <row r="43" spans="2:19" ht="32.1" customHeight="1" x14ac:dyDescent="0.35">
      <c r="B43" s="56"/>
      <c r="C43" s="56"/>
      <c r="D43" s="550" t="s">
        <v>139</v>
      </c>
      <c r="E43" s="550"/>
      <c r="F43" s="550"/>
      <c r="G43" s="550"/>
      <c r="H43" s="550"/>
      <c r="I43" s="550"/>
      <c r="J43" s="550"/>
      <c r="K43" s="550"/>
      <c r="L43" s="550"/>
      <c r="M43" s="550"/>
      <c r="N43" s="550"/>
      <c r="O43" s="550"/>
      <c r="R43" s="45"/>
      <c r="S43" s="47"/>
    </row>
    <row r="44" spans="2:19" ht="32.1" customHeight="1" x14ac:dyDescent="0.35">
      <c r="B44" s="56"/>
      <c r="C44" s="56"/>
      <c r="D44" s="551" t="str">
        <f>D5</f>
        <v>NOMINA 2DA QUINCENA DE DICIEMBRE DE 2021</v>
      </c>
      <c r="E44" s="551"/>
      <c r="F44" s="551"/>
      <c r="G44" s="551"/>
      <c r="H44" s="551"/>
      <c r="I44" s="551"/>
      <c r="J44" s="551"/>
      <c r="K44" s="551"/>
      <c r="L44" s="551"/>
      <c r="M44" s="551"/>
      <c r="N44" s="551"/>
      <c r="O44" s="551"/>
      <c r="P44" s="9">
        <f>SUM(N12:N38)</f>
        <v>60421.880000000005</v>
      </c>
      <c r="R44" s="45"/>
      <c r="S44" s="47"/>
    </row>
    <row r="45" spans="2:19" ht="32.1" customHeight="1" x14ac:dyDescent="0.35">
      <c r="B45" s="56"/>
      <c r="C45" s="56"/>
      <c r="D45" s="551" t="s">
        <v>126</v>
      </c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9">
        <f>P44-N41</f>
        <v>0</v>
      </c>
      <c r="R45" s="45"/>
      <c r="S45" s="47"/>
    </row>
    <row r="46" spans="2:19" ht="32.1" customHeight="1" x14ac:dyDescent="0.4">
      <c r="B46" s="56"/>
      <c r="C46" s="56"/>
      <c r="D46" s="577" t="s">
        <v>237</v>
      </c>
      <c r="E46" s="505" t="s">
        <v>208</v>
      </c>
      <c r="F46" s="506"/>
      <c r="G46" s="506"/>
      <c r="H46" s="507" t="s">
        <v>4</v>
      </c>
      <c r="I46" s="571" t="s">
        <v>0</v>
      </c>
      <c r="J46" s="572"/>
      <c r="K46" s="573"/>
      <c r="L46" s="508"/>
      <c r="M46" s="509"/>
      <c r="N46" s="507"/>
      <c r="O46" s="510"/>
      <c r="R46" s="45"/>
      <c r="S46" s="47"/>
    </row>
    <row r="47" spans="2:19" ht="32.1" customHeight="1" x14ac:dyDescent="0.4">
      <c r="B47" s="56"/>
      <c r="C47" s="56"/>
      <c r="D47" s="578"/>
      <c r="E47" s="511" t="s">
        <v>209</v>
      </c>
      <c r="F47" s="510"/>
      <c r="G47" s="507"/>
      <c r="H47" s="512" t="s">
        <v>5</v>
      </c>
      <c r="I47" s="513" t="s">
        <v>1</v>
      </c>
      <c r="J47" s="513" t="s">
        <v>125</v>
      </c>
      <c r="K47" s="514" t="s">
        <v>129</v>
      </c>
      <c r="L47" s="514"/>
      <c r="M47" s="507" t="s">
        <v>143</v>
      </c>
      <c r="N47" s="507" t="s">
        <v>128</v>
      </c>
      <c r="O47" s="515"/>
      <c r="R47" s="45"/>
      <c r="S47" s="47"/>
    </row>
    <row r="48" spans="2:19" ht="32.1" customHeight="1" x14ac:dyDescent="0.4">
      <c r="B48" s="56"/>
      <c r="C48" s="56"/>
      <c r="D48" s="578"/>
      <c r="E48" s="511"/>
      <c r="F48" s="513"/>
      <c r="G48" s="515" t="s">
        <v>10</v>
      </c>
      <c r="H48" s="507"/>
      <c r="I48" s="507" t="s">
        <v>7</v>
      </c>
      <c r="J48" s="507" t="s">
        <v>128</v>
      </c>
      <c r="K48" s="512" t="s">
        <v>130</v>
      </c>
      <c r="L48" s="512" t="s">
        <v>131</v>
      </c>
      <c r="M48" s="507" t="s">
        <v>145</v>
      </c>
      <c r="N48" s="507" t="s">
        <v>134</v>
      </c>
      <c r="O48" s="513" t="s">
        <v>137</v>
      </c>
      <c r="R48" s="45"/>
      <c r="S48" s="47"/>
    </row>
    <row r="49" spans="1:19" ht="32.1" customHeight="1" x14ac:dyDescent="0.4">
      <c r="B49" s="56"/>
      <c r="C49" s="56"/>
      <c r="D49" s="579"/>
      <c r="E49" s="516"/>
      <c r="F49" s="513" t="s">
        <v>69</v>
      </c>
      <c r="G49" s="513" t="s">
        <v>9</v>
      </c>
      <c r="H49" s="513"/>
      <c r="I49" s="513"/>
      <c r="J49" s="513"/>
      <c r="K49" s="514"/>
      <c r="L49" s="517"/>
      <c r="M49" s="518"/>
      <c r="N49" s="513"/>
      <c r="O49" s="513"/>
      <c r="R49" s="45"/>
      <c r="S49" s="47"/>
    </row>
    <row r="50" spans="1:19" ht="60" customHeight="1" x14ac:dyDescent="0.4">
      <c r="B50" s="56"/>
      <c r="C50" s="56"/>
      <c r="D50" s="519"/>
      <c r="E50" s="502"/>
      <c r="F50" s="416" t="s">
        <v>361</v>
      </c>
      <c r="G50" s="417"/>
      <c r="H50" s="418"/>
      <c r="I50" s="398"/>
      <c r="J50" s="393"/>
      <c r="K50" s="392"/>
      <c r="L50" s="392"/>
      <c r="M50" s="393"/>
      <c r="N50" s="393"/>
      <c r="O50" s="500"/>
      <c r="R50" s="45"/>
      <c r="S50" s="47"/>
    </row>
    <row r="51" spans="1:19" ht="60" customHeight="1" x14ac:dyDescent="0.4">
      <c r="B51" s="56"/>
      <c r="C51" s="56"/>
      <c r="D51" s="519"/>
      <c r="E51" s="502" t="s">
        <v>214</v>
      </c>
      <c r="F51" s="419" t="s">
        <v>362</v>
      </c>
      <c r="G51" s="401" t="s">
        <v>363</v>
      </c>
      <c r="H51" s="412">
        <v>15</v>
      </c>
      <c r="I51" s="398">
        <v>6112</v>
      </c>
      <c r="J51" s="398">
        <v>6112</v>
      </c>
      <c r="K51" s="392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392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611.29999999999995</v>
      </c>
      <c r="M51" s="398"/>
      <c r="N51" s="398">
        <f>J51+K51-L51-M51</f>
        <v>5500.7</v>
      </c>
      <c r="O51" s="406"/>
      <c r="R51" s="45"/>
      <c r="S51" s="47"/>
    </row>
    <row r="52" spans="1:19" ht="60" customHeight="1" x14ac:dyDescent="0.4">
      <c r="A52" s="7"/>
      <c r="B52" s="36"/>
      <c r="C52" s="36"/>
      <c r="D52" s="519"/>
      <c r="E52" s="394" t="s">
        <v>450</v>
      </c>
      <c r="F52" s="419" t="s">
        <v>293</v>
      </c>
      <c r="G52" s="411" t="s">
        <v>404</v>
      </c>
      <c r="H52" s="412">
        <v>15</v>
      </c>
      <c r="I52" s="398">
        <v>3933</v>
      </c>
      <c r="J52" s="393">
        <v>3933</v>
      </c>
      <c r="K52" s="392">
        <f>IFERROR(IF(ROUND((((J52/H52*30.4)-VLOOKUP((J52/H52*30.4),TARIFA,1))*VLOOKUP((J52/H52*30.4),TARIFA,3)+VLOOKUP((J52/H52*30.4),TARIFA,2)-VLOOKUP((J52/H52*30.4),SUBSIDIO,2))/30.4*H52,2)&lt;0,ROUND(-(((J52/H52*30.4)-VLOOKUP((J52/H52*30.4),TARIFA,1))*VLOOKUP((J52/H52*30.4),TARIFA,3)+VLOOKUP((J52/H52*30.4),TARIFA,2)-VLOOKUP((J52/H52*30.4),SUBSIDIO,2))/30.4*H52,2),0),0)</f>
        <v>0</v>
      </c>
      <c r="L52" s="392">
        <f>IFERROR(IF(ROUND((((J52/H52*30.4)-VLOOKUP((J52/H52*30.4),TARIFA,1))*VLOOKUP((J52/H52*30.4),TARIFA,3)+VLOOKUP((J52/H52*30.4),TARIFA,2)-VLOOKUP((J52/H52*30.4),SUBSIDIO,2))/30.4*H52,2)&gt;0,ROUND((((J52/H52*30.4)-VLOOKUP((J52/H52*30.4),TARIFA,1))*VLOOKUP((J52/H52*30.4),TARIFA,3)+VLOOKUP((J52/H52*30.4),TARIFA,2)-VLOOKUP((J52/H52*30.4),SUBSIDIO,2))/30.4*H52,2),0),0)</f>
        <v>292.72000000000003</v>
      </c>
      <c r="M52" s="393"/>
      <c r="N52" s="420">
        <f>J52+K52-L52-M52</f>
        <v>3640.2799999999997</v>
      </c>
      <c r="O52" s="520"/>
      <c r="R52" s="45"/>
      <c r="S52" s="47"/>
    </row>
    <row r="53" spans="1:19" ht="60" customHeight="1" x14ac:dyDescent="0.4">
      <c r="A53" s="7"/>
      <c r="B53" s="36"/>
      <c r="C53" s="36"/>
      <c r="D53" s="519"/>
      <c r="E53" s="394" t="s">
        <v>214</v>
      </c>
      <c r="F53" s="419" t="s">
        <v>475</v>
      </c>
      <c r="G53" s="411" t="s">
        <v>404</v>
      </c>
      <c r="H53" s="412">
        <v>15</v>
      </c>
      <c r="I53" s="398">
        <v>4910</v>
      </c>
      <c r="J53" s="393">
        <v>4910</v>
      </c>
      <c r="K53" s="392">
        <v>0</v>
      </c>
      <c r="L53" s="392">
        <v>407.52</v>
      </c>
      <c r="M53" s="393"/>
      <c r="N53" s="420">
        <f>J53+K53-L53-M53</f>
        <v>4502.4799999999996</v>
      </c>
      <c r="O53" s="405"/>
      <c r="R53" s="45"/>
      <c r="S53" s="47"/>
    </row>
    <row r="54" spans="1:19" ht="60" customHeight="1" x14ac:dyDescent="0.4">
      <c r="A54" s="7"/>
      <c r="B54" s="36"/>
      <c r="C54" s="36"/>
      <c r="D54" s="519"/>
      <c r="E54" s="394"/>
      <c r="F54" s="421" t="s">
        <v>400</v>
      </c>
      <c r="G54" s="411"/>
      <c r="H54" s="412"/>
      <c r="I54" s="398"/>
      <c r="J54" s="393"/>
      <c r="K54" s="392"/>
      <c r="L54" s="392"/>
      <c r="M54" s="393"/>
      <c r="N54" s="393"/>
      <c r="O54" s="521"/>
      <c r="R54" s="45"/>
      <c r="S54" s="47"/>
    </row>
    <row r="55" spans="1:19" ht="60" customHeight="1" x14ac:dyDescent="0.4">
      <c r="A55" s="7"/>
      <c r="B55" s="36"/>
      <c r="C55" s="36"/>
      <c r="D55" s="519"/>
      <c r="E55" s="394" t="s">
        <v>450</v>
      </c>
      <c r="F55" s="419" t="s">
        <v>370</v>
      </c>
      <c r="G55" s="411" t="s">
        <v>63</v>
      </c>
      <c r="H55" s="412">
        <v>15</v>
      </c>
      <c r="I55" s="391">
        <v>3888</v>
      </c>
      <c r="J55" s="391">
        <v>3888</v>
      </c>
      <c r="K55" s="392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393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287.83</v>
      </c>
      <c r="M55" s="393">
        <v>0</v>
      </c>
      <c r="N55" s="393">
        <f t="shared" ref="N55:N56" si="10">J55+K55-L55</f>
        <v>3600.17</v>
      </c>
      <c r="O55" s="500"/>
      <c r="R55" s="45"/>
      <c r="S55" s="47"/>
    </row>
    <row r="56" spans="1:19" ht="60" customHeight="1" x14ac:dyDescent="0.4">
      <c r="A56" s="7"/>
      <c r="B56" s="36"/>
      <c r="C56" s="36"/>
      <c r="D56" s="519"/>
      <c r="E56" s="394" t="s">
        <v>214</v>
      </c>
      <c r="F56" s="419" t="s">
        <v>371</v>
      </c>
      <c r="G56" s="411" t="s">
        <v>401</v>
      </c>
      <c r="H56" s="412">
        <v>15</v>
      </c>
      <c r="I56" s="391">
        <v>3888</v>
      </c>
      <c r="J56" s="391">
        <v>3888</v>
      </c>
      <c r="K56" s="392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393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287.83</v>
      </c>
      <c r="M56" s="393">
        <v>0</v>
      </c>
      <c r="N56" s="393">
        <f t="shared" si="10"/>
        <v>3600.17</v>
      </c>
      <c r="O56" s="406"/>
      <c r="R56" s="45"/>
      <c r="S56" s="47"/>
    </row>
    <row r="57" spans="1:19" ht="60" customHeight="1" x14ac:dyDescent="0.4">
      <c r="A57" s="7"/>
      <c r="B57" s="36"/>
      <c r="C57" s="36"/>
      <c r="D57" s="519"/>
      <c r="E57" s="394"/>
      <c r="F57" s="421" t="s">
        <v>154</v>
      </c>
      <c r="G57" s="411"/>
      <c r="H57" s="412"/>
      <c r="I57" s="398"/>
      <c r="J57" s="393"/>
      <c r="K57" s="392"/>
      <c r="L57" s="392"/>
      <c r="M57" s="393"/>
      <c r="N57" s="393"/>
      <c r="O57" s="406"/>
      <c r="R57" s="45"/>
      <c r="S57" s="47"/>
    </row>
    <row r="58" spans="1:19" ht="60" customHeight="1" x14ac:dyDescent="0.4">
      <c r="A58" s="7"/>
      <c r="B58" s="36"/>
      <c r="C58" s="36"/>
      <c r="D58" s="519"/>
      <c r="E58" s="394" t="s">
        <v>214</v>
      </c>
      <c r="F58" s="419" t="s">
        <v>337</v>
      </c>
      <c r="G58" s="411" t="s">
        <v>155</v>
      </c>
      <c r="H58" s="412">
        <v>15</v>
      </c>
      <c r="I58" s="398">
        <v>4910</v>
      </c>
      <c r="J58" s="393">
        <v>4910</v>
      </c>
      <c r="K58" s="392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392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407.52</v>
      </c>
      <c r="M58" s="393"/>
      <c r="N58" s="398">
        <f>J58+K58-L58-M58</f>
        <v>4502.4799999999996</v>
      </c>
      <c r="O58" s="521"/>
      <c r="R58" s="45"/>
      <c r="S58" s="47"/>
    </row>
    <row r="59" spans="1:19" ht="60" customHeight="1" x14ac:dyDescent="0.4">
      <c r="A59" s="7"/>
      <c r="B59" s="36"/>
      <c r="C59" s="36"/>
      <c r="D59" s="519"/>
      <c r="E59" s="394" t="s">
        <v>450</v>
      </c>
      <c r="F59" s="419" t="s">
        <v>338</v>
      </c>
      <c r="G59" s="411" t="s">
        <v>294</v>
      </c>
      <c r="H59" s="412">
        <v>15</v>
      </c>
      <c r="I59" s="398">
        <v>3299</v>
      </c>
      <c r="J59" s="393">
        <v>3299</v>
      </c>
      <c r="K59" s="392"/>
      <c r="L59" s="392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98.64</v>
      </c>
      <c r="M59" s="393"/>
      <c r="N59" s="393">
        <f t="shared" ref="N59" si="11">J59+K59-L59-M59</f>
        <v>3200.36</v>
      </c>
      <c r="O59" s="521"/>
      <c r="R59" s="45"/>
      <c r="S59" s="47"/>
    </row>
    <row r="60" spans="1:19" ht="60" customHeight="1" x14ac:dyDescent="0.4">
      <c r="A60" s="7"/>
      <c r="B60" s="36"/>
      <c r="C60" s="36"/>
      <c r="D60" s="519"/>
      <c r="E60" s="468"/>
      <c r="F60" s="422" t="s">
        <v>36</v>
      </c>
      <c r="G60" s="401"/>
      <c r="H60" s="423"/>
      <c r="I60" s="384"/>
      <c r="J60" s="384"/>
      <c r="K60" s="385"/>
      <c r="L60" s="385"/>
      <c r="M60" s="384"/>
      <c r="N60" s="424"/>
      <c r="O60" s="522"/>
      <c r="R60" s="45"/>
      <c r="S60" s="47"/>
    </row>
    <row r="61" spans="1:19" ht="60" customHeight="1" x14ac:dyDescent="0.4">
      <c r="A61" s="7"/>
      <c r="B61" s="36"/>
      <c r="C61" s="36"/>
      <c r="D61" s="519"/>
      <c r="E61" s="468" t="s">
        <v>214</v>
      </c>
      <c r="F61" s="410" t="s">
        <v>384</v>
      </c>
      <c r="G61" s="411" t="s">
        <v>386</v>
      </c>
      <c r="H61" s="412">
        <v>15</v>
      </c>
      <c r="I61" s="398">
        <v>3187</v>
      </c>
      <c r="J61" s="393">
        <v>3187</v>
      </c>
      <c r="K61" s="392"/>
      <c r="L61" s="392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86.46</v>
      </c>
      <c r="M61" s="393"/>
      <c r="N61" s="393">
        <f t="shared" ref="N61" si="12">J61+K61-L61-M61</f>
        <v>3100.54</v>
      </c>
      <c r="O61" s="521"/>
      <c r="R61" s="45"/>
      <c r="S61" s="47"/>
    </row>
    <row r="62" spans="1:19" ht="60" customHeight="1" x14ac:dyDescent="0.4">
      <c r="A62" s="7"/>
      <c r="B62" s="7"/>
      <c r="C62" s="7"/>
      <c r="D62" s="523"/>
      <c r="E62" s="379"/>
      <c r="F62" s="380" t="s">
        <v>158</v>
      </c>
      <c r="G62" s="381"/>
      <c r="H62" s="382"/>
      <c r="I62" s="383"/>
      <c r="J62" s="384"/>
      <c r="K62" s="385"/>
      <c r="L62" s="385"/>
      <c r="M62" s="384"/>
      <c r="N62" s="384"/>
      <c r="O62" s="384"/>
      <c r="R62" s="45"/>
      <c r="S62" s="47"/>
    </row>
    <row r="63" spans="1:19" ht="60" customHeight="1" x14ac:dyDescent="0.4">
      <c r="A63" s="7"/>
      <c r="B63" s="7"/>
      <c r="C63" s="7"/>
      <c r="D63" s="468"/>
      <c r="E63" s="524" t="s">
        <v>450</v>
      </c>
      <c r="F63" s="419" t="s">
        <v>382</v>
      </c>
      <c r="G63" s="411" t="s">
        <v>383</v>
      </c>
      <c r="H63" s="412">
        <v>15</v>
      </c>
      <c r="I63" s="393">
        <v>7108</v>
      </c>
      <c r="J63" s="393">
        <v>7108</v>
      </c>
      <c r="K63" s="392">
        <f t="shared" ref="K63:K80" si="13"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392">
        <f t="shared" ref="L63:L80" si="14"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807.17</v>
      </c>
      <c r="M63" s="393"/>
      <c r="N63" s="398">
        <f t="shared" ref="N63:N80" si="15">J63+K63-L63-M63</f>
        <v>6300.83</v>
      </c>
      <c r="O63" s="393"/>
      <c r="R63" s="45"/>
      <c r="S63" s="47"/>
    </row>
    <row r="64" spans="1:19" ht="60" customHeight="1" x14ac:dyDescent="0.4">
      <c r="A64" s="7"/>
      <c r="B64" s="7"/>
      <c r="C64" s="7"/>
      <c r="D64" s="468" t="s">
        <v>239</v>
      </c>
      <c r="E64" s="524" t="s">
        <v>214</v>
      </c>
      <c r="F64" s="419" t="s">
        <v>165</v>
      </c>
      <c r="G64" s="411" t="s">
        <v>29</v>
      </c>
      <c r="H64" s="412">
        <v>15</v>
      </c>
      <c r="I64" s="398">
        <v>3052</v>
      </c>
      <c r="J64" s="393">
        <v>3052</v>
      </c>
      <c r="K64" s="392">
        <f t="shared" si="13"/>
        <v>0</v>
      </c>
      <c r="L64" s="392">
        <f t="shared" si="14"/>
        <v>51.49</v>
      </c>
      <c r="M64" s="393"/>
      <c r="N64" s="398">
        <f t="shared" si="15"/>
        <v>3000.51</v>
      </c>
      <c r="O64" s="393"/>
      <c r="R64" s="45"/>
      <c r="S64" s="47"/>
    </row>
    <row r="65" spans="1:241" ht="60" customHeight="1" x14ac:dyDescent="0.4">
      <c r="A65" s="7"/>
      <c r="B65" s="7"/>
      <c r="C65" s="7"/>
      <c r="D65" s="468" t="s">
        <v>240</v>
      </c>
      <c r="E65" s="524" t="s">
        <v>214</v>
      </c>
      <c r="F65" s="419" t="s">
        <v>166</v>
      </c>
      <c r="G65" s="411" t="s">
        <v>29</v>
      </c>
      <c r="H65" s="412">
        <v>15</v>
      </c>
      <c r="I65" s="398">
        <v>3052</v>
      </c>
      <c r="J65" s="393">
        <v>3052</v>
      </c>
      <c r="K65" s="392">
        <f t="shared" ref="K65" si="16">IFERROR(IF(ROUND((((J65/H65*30.4)-VLOOKUP((J65/H65*30.4),TARIFA,1))*VLOOKUP((J65/H65*30.4),TARIFA,3)+VLOOKUP((J65/H65*30.4),TARIFA,2)-VLOOKUP((J65/H65*30.4),SUBSIDIO,2))/30.4*H65,2)&lt;0,ROUND(-(((J65/H65*30.4)-VLOOKUP((J65/H65*30.4),TARIFA,1))*VLOOKUP((J65/H65*30.4),TARIFA,3)+VLOOKUP((J65/H65*30.4),TARIFA,2)-VLOOKUP((J65/H65*30.4),SUBSIDIO,2))/30.4*H65,2),0),0)</f>
        <v>0</v>
      </c>
      <c r="L65" s="392">
        <f t="shared" ref="L65" si="17">IFERROR(IF(ROUND((((J65/H65*30.4)-VLOOKUP((J65/H65*30.4),TARIFA,1))*VLOOKUP((J65/H65*30.4),TARIFA,3)+VLOOKUP((J65/H65*30.4),TARIFA,2)-VLOOKUP((J65/H65*30.4),SUBSIDIO,2))/30.4*H65,2)&gt;0,ROUND((((J65/H65*30.4)-VLOOKUP((J65/H65*30.4),TARIFA,1))*VLOOKUP((J65/H65*30.4),TARIFA,3)+VLOOKUP((J65/H65*30.4),TARIFA,2)-VLOOKUP((J65/H65*30.4),SUBSIDIO,2))/30.4*H65,2),0),0)</f>
        <v>51.49</v>
      </c>
      <c r="M65" s="393"/>
      <c r="N65" s="398">
        <f t="shared" ref="N65" si="18">J65+K65-L65-M65</f>
        <v>3000.51</v>
      </c>
      <c r="O65" s="393"/>
      <c r="R65" s="45"/>
      <c r="S65" s="47"/>
    </row>
    <row r="66" spans="1:241" ht="60" customHeight="1" x14ac:dyDescent="0.4">
      <c r="A66" s="7"/>
      <c r="B66" s="7"/>
      <c r="C66" s="7"/>
      <c r="D66" s="468" t="s">
        <v>241</v>
      </c>
      <c r="E66" s="524" t="s">
        <v>450</v>
      </c>
      <c r="F66" s="401" t="s">
        <v>53</v>
      </c>
      <c r="G66" s="425" t="s">
        <v>39</v>
      </c>
      <c r="H66" s="390">
        <v>15</v>
      </c>
      <c r="I66" s="398">
        <v>3411</v>
      </c>
      <c r="J66" s="393">
        <v>3411</v>
      </c>
      <c r="K66" s="392">
        <f t="shared" si="13"/>
        <v>0</v>
      </c>
      <c r="L66" s="392">
        <f t="shared" si="14"/>
        <v>110.83</v>
      </c>
      <c r="M66" s="393">
        <v>0</v>
      </c>
      <c r="N66" s="398">
        <f t="shared" si="15"/>
        <v>3300.17</v>
      </c>
      <c r="O66" s="393"/>
      <c r="R66" s="45"/>
      <c r="S66" s="47"/>
    </row>
    <row r="67" spans="1:241" ht="60" customHeight="1" x14ac:dyDescent="0.4">
      <c r="A67" s="7"/>
      <c r="B67" s="7"/>
      <c r="C67" s="7"/>
      <c r="D67" s="468" t="s">
        <v>242</v>
      </c>
      <c r="E67" s="524" t="s">
        <v>450</v>
      </c>
      <c r="F67" s="401" t="s">
        <v>84</v>
      </c>
      <c r="G67" s="425" t="s">
        <v>29</v>
      </c>
      <c r="H67" s="390">
        <v>15</v>
      </c>
      <c r="I67" s="398">
        <v>3052</v>
      </c>
      <c r="J67" s="393">
        <v>3052</v>
      </c>
      <c r="K67" s="392">
        <f t="shared" ref="K67" si="19">IFERROR(IF(ROUND((((J67/H67*30.4)-VLOOKUP((J67/H67*30.4),TARIFA,1))*VLOOKUP((J67/H67*30.4),TARIFA,3)+VLOOKUP((J67/H67*30.4),TARIFA,2)-VLOOKUP((J67/H67*30.4),SUBSIDIO,2))/30.4*H67,2)&lt;0,ROUND(-(((J67/H67*30.4)-VLOOKUP((J67/H67*30.4),TARIFA,1))*VLOOKUP((J67/H67*30.4),TARIFA,3)+VLOOKUP((J67/H67*30.4),TARIFA,2)-VLOOKUP((J67/H67*30.4),SUBSIDIO,2))/30.4*H67,2),0),0)</f>
        <v>0</v>
      </c>
      <c r="L67" s="392">
        <f t="shared" ref="L67" si="20">IFERROR(IF(ROUND((((J67/H67*30.4)-VLOOKUP((J67/H67*30.4),TARIFA,1))*VLOOKUP((J67/H67*30.4),TARIFA,3)+VLOOKUP((J67/H67*30.4),TARIFA,2)-VLOOKUP((J67/H67*30.4),SUBSIDIO,2))/30.4*H67,2)&gt;0,ROUND((((J67/H67*30.4)-VLOOKUP((J67/H67*30.4),TARIFA,1))*VLOOKUP((J67/H67*30.4),TARIFA,3)+VLOOKUP((J67/H67*30.4),TARIFA,2)-VLOOKUP((J67/H67*30.4),SUBSIDIO,2))/30.4*H67,2),0),0)</f>
        <v>51.49</v>
      </c>
      <c r="M67" s="393"/>
      <c r="N67" s="398">
        <f t="shared" ref="N67" si="21">J67+K67-L67-M67</f>
        <v>3000.51</v>
      </c>
      <c r="O67" s="393"/>
      <c r="R67" s="45"/>
      <c r="S67" s="47"/>
    </row>
    <row r="68" spans="1:241" ht="60" customHeight="1" x14ac:dyDescent="0.4">
      <c r="A68" s="7"/>
      <c r="B68" s="7"/>
      <c r="C68" s="7"/>
      <c r="D68" s="468" t="s">
        <v>243</v>
      </c>
      <c r="E68" s="524" t="s">
        <v>450</v>
      </c>
      <c r="F68" s="388" t="s">
        <v>87</v>
      </c>
      <c r="G68" s="389" t="s">
        <v>29</v>
      </c>
      <c r="H68" s="390">
        <v>15</v>
      </c>
      <c r="I68" s="398">
        <v>3355</v>
      </c>
      <c r="J68" s="393">
        <f>I68</f>
        <v>3355</v>
      </c>
      <c r="K68" s="392">
        <f t="shared" si="13"/>
        <v>0</v>
      </c>
      <c r="L68" s="392">
        <f t="shared" si="14"/>
        <v>104.74</v>
      </c>
      <c r="M68" s="393">
        <v>0</v>
      </c>
      <c r="N68" s="398">
        <f t="shared" si="15"/>
        <v>3250.26</v>
      </c>
      <c r="O68" s="393"/>
      <c r="R68" s="45"/>
      <c r="S68" s="47"/>
    </row>
    <row r="69" spans="1:241" ht="60" customHeight="1" x14ac:dyDescent="0.4">
      <c r="A69" s="7"/>
      <c r="B69" s="7"/>
      <c r="C69" s="7"/>
      <c r="D69" s="468" t="s">
        <v>244</v>
      </c>
      <c r="E69" s="524" t="s">
        <v>450</v>
      </c>
      <c r="F69" s="388" t="s">
        <v>106</v>
      </c>
      <c r="G69" s="388" t="s">
        <v>105</v>
      </c>
      <c r="H69" s="390">
        <v>15</v>
      </c>
      <c r="I69" s="398">
        <v>3052</v>
      </c>
      <c r="J69" s="393">
        <v>3052</v>
      </c>
      <c r="K69" s="392">
        <f t="shared" si="13"/>
        <v>0</v>
      </c>
      <c r="L69" s="392">
        <f t="shared" si="14"/>
        <v>51.49</v>
      </c>
      <c r="M69" s="393"/>
      <c r="N69" s="398">
        <f t="shared" si="15"/>
        <v>3000.51</v>
      </c>
      <c r="O69" s="393"/>
      <c r="R69" s="45"/>
      <c r="S69" s="47"/>
    </row>
    <row r="70" spans="1:241" ht="60" customHeight="1" x14ac:dyDescent="0.4">
      <c r="A70" s="7"/>
      <c r="B70" s="7"/>
      <c r="C70" s="7"/>
      <c r="D70" s="468" t="s">
        <v>246</v>
      </c>
      <c r="E70" s="524" t="s">
        <v>450</v>
      </c>
      <c r="F70" s="388" t="s">
        <v>73</v>
      </c>
      <c r="G70" s="388" t="s">
        <v>52</v>
      </c>
      <c r="H70" s="390">
        <v>15</v>
      </c>
      <c r="I70" s="398">
        <v>3052</v>
      </c>
      <c r="J70" s="393">
        <v>3052</v>
      </c>
      <c r="K70" s="392">
        <f t="shared" ref="K70" si="22">IFERROR(IF(ROUND((((J70/H70*30.4)-VLOOKUP((J70/H70*30.4),TARIFA,1))*VLOOKUP((J70/H70*30.4),TARIFA,3)+VLOOKUP((J70/H70*30.4),TARIFA,2)-VLOOKUP((J70/H70*30.4),SUBSIDIO,2))/30.4*H70,2)&lt;0,ROUND(-(((J70/H70*30.4)-VLOOKUP((J70/H70*30.4),TARIFA,1))*VLOOKUP((J70/H70*30.4),TARIFA,3)+VLOOKUP((J70/H70*30.4),TARIFA,2)-VLOOKUP((J70/H70*30.4),SUBSIDIO,2))/30.4*H70,2),0),0)</f>
        <v>0</v>
      </c>
      <c r="L70" s="392">
        <f t="shared" ref="L70" si="23">IFERROR(IF(ROUND((((J70/H70*30.4)-VLOOKUP((J70/H70*30.4),TARIFA,1))*VLOOKUP((J70/H70*30.4),TARIFA,3)+VLOOKUP((J70/H70*30.4),TARIFA,2)-VLOOKUP((J70/H70*30.4),SUBSIDIO,2))/30.4*H70,2)&gt;0,ROUND((((J70/H70*30.4)-VLOOKUP((J70/H70*30.4),TARIFA,1))*VLOOKUP((J70/H70*30.4),TARIFA,3)+VLOOKUP((J70/H70*30.4),TARIFA,2)-VLOOKUP((J70/H70*30.4),SUBSIDIO,2))/30.4*H70,2),0),0)</f>
        <v>51.49</v>
      </c>
      <c r="M70" s="393"/>
      <c r="N70" s="398">
        <f t="shared" ref="N70" si="24">J70+K70-L70-M70</f>
        <v>3000.51</v>
      </c>
      <c r="O70" s="393"/>
      <c r="R70" s="45"/>
      <c r="S70" s="47"/>
    </row>
    <row r="71" spans="1:241" ht="60" hidden="1" customHeight="1" x14ac:dyDescent="0.4">
      <c r="A71" s="7"/>
      <c r="B71" s="7"/>
      <c r="C71" s="7"/>
      <c r="D71" s="468"/>
      <c r="E71" s="524" t="s">
        <v>450</v>
      </c>
      <c r="F71" s="388"/>
      <c r="G71" s="388"/>
      <c r="H71" s="390"/>
      <c r="I71" s="398"/>
      <c r="J71" s="393"/>
      <c r="K71" s="392"/>
      <c r="L71" s="392"/>
      <c r="M71" s="393"/>
      <c r="N71" s="398"/>
      <c r="O71" s="393"/>
      <c r="R71" s="45"/>
      <c r="S71" s="47"/>
    </row>
    <row r="72" spans="1:241" ht="60" customHeight="1" x14ac:dyDescent="0.4">
      <c r="A72" s="7"/>
      <c r="B72" s="7"/>
      <c r="C72" s="7"/>
      <c r="D72" s="468" t="s">
        <v>247</v>
      </c>
      <c r="E72" s="524" t="s">
        <v>450</v>
      </c>
      <c r="F72" s="388" t="s">
        <v>80</v>
      </c>
      <c r="G72" s="388" t="s">
        <v>29</v>
      </c>
      <c r="H72" s="390">
        <v>15</v>
      </c>
      <c r="I72" s="398">
        <v>4908</v>
      </c>
      <c r="J72" s="393">
        <v>4908</v>
      </c>
      <c r="K72" s="392">
        <f t="shared" si="13"/>
        <v>0</v>
      </c>
      <c r="L72" s="392">
        <f t="shared" si="14"/>
        <v>407.2</v>
      </c>
      <c r="M72" s="393">
        <v>0</v>
      </c>
      <c r="N72" s="398">
        <f t="shared" si="15"/>
        <v>4500.8</v>
      </c>
      <c r="O72" s="393"/>
      <c r="R72" s="45"/>
      <c r="S72" s="47"/>
    </row>
    <row r="73" spans="1:241" ht="60" customHeight="1" x14ac:dyDescent="0.4">
      <c r="A73" s="7"/>
      <c r="B73" s="7"/>
      <c r="C73" s="7"/>
      <c r="D73" s="468" t="s">
        <v>248</v>
      </c>
      <c r="E73" s="524" t="s">
        <v>450</v>
      </c>
      <c r="F73" s="388" t="s">
        <v>88</v>
      </c>
      <c r="G73" s="388" t="s">
        <v>29</v>
      </c>
      <c r="H73" s="390">
        <v>15</v>
      </c>
      <c r="I73" s="398">
        <v>2492</v>
      </c>
      <c r="J73" s="393">
        <v>2492</v>
      </c>
      <c r="K73" s="392">
        <f t="shared" si="13"/>
        <v>15.06</v>
      </c>
      <c r="L73" s="392">
        <f t="shared" si="14"/>
        <v>0</v>
      </c>
      <c r="M73" s="393">
        <v>0</v>
      </c>
      <c r="N73" s="398">
        <f t="shared" si="15"/>
        <v>2507.06</v>
      </c>
      <c r="O73" s="393"/>
      <c r="R73" s="45"/>
      <c r="S73" s="47"/>
    </row>
    <row r="74" spans="1:241" ht="60" customHeight="1" x14ac:dyDescent="0.4">
      <c r="A74" s="7"/>
      <c r="B74" s="7"/>
      <c r="C74" s="7"/>
      <c r="D74" s="468" t="s">
        <v>249</v>
      </c>
      <c r="E74" s="524" t="s">
        <v>450</v>
      </c>
      <c r="F74" s="388" t="s">
        <v>86</v>
      </c>
      <c r="G74" s="388" t="s">
        <v>29</v>
      </c>
      <c r="H74" s="390">
        <v>15</v>
      </c>
      <c r="I74" s="398">
        <v>3052</v>
      </c>
      <c r="J74" s="393">
        <v>3052</v>
      </c>
      <c r="K74" s="392">
        <f t="shared" si="13"/>
        <v>0</v>
      </c>
      <c r="L74" s="392">
        <f t="shared" si="14"/>
        <v>51.49</v>
      </c>
      <c r="M74" s="393"/>
      <c r="N74" s="398">
        <f t="shared" si="15"/>
        <v>3000.51</v>
      </c>
      <c r="O74" s="393"/>
      <c r="R74" s="45"/>
      <c r="S74" s="47"/>
    </row>
    <row r="75" spans="1:241" ht="60" customHeight="1" x14ac:dyDescent="0.4">
      <c r="A75" s="7"/>
      <c r="B75" s="7"/>
      <c r="C75" s="7"/>
      <c r="D75" s="468" t="s">
        <v>250</v>
      </c>
      <c r="E75" s="468" t="s">
        <v>214</v>
      </c>
      <c r="F75" s="388" t="s">
        <v>114</v>
      </c>
      <c r="G75" s="388" t="s">
        <v>29</v>
      </c>
      <c r="H75" s="390">
        <v>15</v>
      </c>
      <c r="I75" s="398">
        <v>3052</v>
      </c>
      <c r="J75" s="393">
        <v>3052</v>
      </c>
      <c r="K75" s="392">
        <f t="shared" ref="K75" si="25"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392">
        <f t="shared" ref="L75" si="26"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51.49</v>
      </c>
      <c r="M75" s="393"/>
      <c r="N75" s="398">
        <f t="shared" ref="N75" si="27">J75+K75-L75-M75</f>
        <v>3000.51</v>
      </c>
      <c r="O75" s="393"/>
      <c r="R75" s="45"/>
      <c r="S75" s="47"/>
    </row>
    <row r="76" spans="1:241" ht="60" customHeight="1" x14ac:dyDescent="0.4">
      <c r="A76" s="7"/>
      <c r="B76" s="7"/>
      <c r="C76" s="7"/>
      <c r="D76" s="468" t="s">
        <v>251</v>
      </c>
      <c r="E76" s="468" t="s">
        <v>214</v>
      </c>
      <c r="F76" s="388" t="s">
        <v>85</v>
      </c>
      <c r="G76" s="388" t="s">
        <v>29</v>
      </c>
      <c r="H76" s="390">
        <v>15</v>
      </c>
      <c r="I76" s="391">
        <v>3888</v>
      </c>
      <c r="J76" s="391">
        <v>3888</v>
      </c>
      <c r="K76" s="392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393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287.83</v>
      </c>
      <c r="M76" s="393">
        <v>0</v>
      </c>
      <c r="N76" s="393">
        <f t="shared" ref="N76" si="28">J76+K76-L76</f>
        <v>3600.17</v>
      </c>
      <c r="O76" s="393"/>
      <c r="R76" s="45"/>
      <c r="S76" s="47"/>
    </row>
    <row r="77" spans="1:241" ht="60" customHeight="1" x14ac:dyDescent="0.4">
      <c r="A77" s="7"/>
      <c r="B77" s="283"/>
      <c r="C77" s="346"/>
      <c r="D77" s="468"/>
      <c r="E77" s="468" t="s">
        <v>214</v>
      </c>
      <c r="F77" s="388" t="s">
        <v>385</v>
      </c>
      <c r="G77" s="388" t="s">
        <v>29</v>
      </c>
      <c r="H77" s="390">
        <v>15</v>
      </c>
      <c r="I77" s="398">
        <v>4225</v>
      </c>
      <c r="J77" s="393">
        <v>4225</v>
      </c>
      <c r="K77" s="392">
        <f t="shared" si="13"/>
        <v>0</v>
      </c>
      <c r="L77" s="392">
        <f t="shared" si="14"/>
        <v>324.49</v>
      </c>
      <c r="M77" s="393">
        <v>0</v>
      </c>
      <c r="N77" s="398">
        <f t="shared" si="15"/>
        <v>3900.51</v>
      </c>
      <c r="O77" s="393"/>
      <c r="P77" s="50"/>
      <c r="Q77" s="48"/>
      <c r="R77" s="49"/>
      <c r="S77" s="47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37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  <c r="CT77" s="12"/>
      <c r="CU77" s="12"/>
      <c r="CV77" s="12"/>
      <c r="CW77" s="12"/>
      <c r="CX77" s="12"/>
      <c r="CY77" s="12"/>
      <c r="CZ77" s="12"/>
      <c r="DA77" s="12"/>
      <c r="DB77" s="12"/>
      <c r="DC77" s="12"/>
      <c r="DD77" s="12"/>
      <c r="DE77" s="12"/>
      <c r="DF77" s="12"/>
      <c r="DG77" s="12"/>
      <c r="DH77" s="12"/>
      <c r="DI77" s="12"/>
      <c r="DJ77" s="12"/>
      <c r="DK77" s="12"/>
      <c r="DL77" s="12"/>
      <c r="DM77" s="12"/>
      <c r="DN77" s="12"/>
      <c r="DO77" s="12"/>
      <c r="DP77" s="12"/>
      <c r="DQ77" s="12"/>
      <c r="DR77" s="12"/>
      <c r="DS77" s="12"/>
      <c r="DT77" s="12"/>
      <c r="DU77" s="12"/>
      <c r="DV77" s="12"/>
      <c r="DW77" s="12"/>
      <c r="DX77" s="12"/>
      <c r="DY77" s="12"/>
      <c r="DZ77" s="12"/>
      <c r="EA77" s="12"/>
      <c r="EB77" s="12"/>
      <c r="EC77" s="12"/>
      <c r="ED77" s="12"/>
      <c r="EE77" s="12"/>
      <c r="EF77" s="12"/>
      <c r="EG77" s="12"/>
      <c r="EH77" s="12"/>
      <c r="EI77" s="12"/>
      <c r="EJ77" s="12"/>
      <c r="EK77" s="12"/>
      <c r="EL77" s="12"/>
      <c r="EM77" s="12"/>
      <c r="EN77" s="12"/>
      <c r="EO77" s="12"/>
      <c r="EP77" s="12"/>
      <c r="EQ77" s="12"/>
      <c r="ER77" s="12"/>
      <c r="ES77" s="12"/>
      <c r="ET77" s="12"/>
      <c r="EU77" s="12"/>
      <c r="EV77" s="12"/>
      <c r="EW77" s="12"/>
      <c r="EX77" s="12"/>
      <c r="EY77" s="12"/>
      <c r="EZ77" s="12"/>
      <c r="FA77" s="12"/>
      <c r="FB77" s="12"/>
      <c r="FC77" s="12"/>
      <c r="FD77" s="12"/>
      <c r="FE77" s="12"/>
      <c r="FF77" s="12"/>
      <c r="FG77" s="12"/>
      <c r="FH77" s="12"/>
      <c r="FI77" s="12"/>
      <c r="FJ77" s="12"/>
      <c r="FK77" s="12"/>
      <c r="FL77" s="12"/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2"/>
      <c r="GB77" s="12"/>
      <c r="GC77" s="12"/>
      <c r="GD77" s="12"/>
      <c r="GE77" s="12"/>
      <c r="GF77" s="12"/>
      <c r="GG77" s="12"/>
      <c r="GH77" s="12"/>
      <c r="GI77" s="12"/>
      <c r="GJ77" s="12"/>
      <c r="GK77" s="12"/>
      <c r="GL77" s="12"/>
      <c r="GM77" s="12"/>
      <c r="GN77" s="12"/>
      <c r="GO77" s="12"/>
      <c r="GP77" s="12"/>
      <c r="GQ77" s="12"/>
      <c r="GR77" s="12"/>
      <c r="GS77" s="12"/>
      <c r="GT77" s="12"/>
      <c r="GU77" s="12"/>
      <c r="GV77" s="12"/>
      <c r="GW77" s="12"/>
      <c r="GX77" s="12"/>
      <c r="GY77" s="12"/>
      <c r="GZ77" s="12"/>
      <c r="HA77" s="12"/>
      <c r="HB77" s="12"/>
      <c r="HC77" s="12"/>
      <c r="HD77" s="12"/>
      <c r="HE77" s="12"/>
      <c r="HF77" s="12"/>
      <c r="HG77" s="12"/>
      <c r="HH77" s="12"/>
      <c r="HI77" s="12"/>
      <c r="HJ77" s="12"/>
      <c r="HK77" s="12"/>
      <c r="HL77" s="12"/>
      <c r="HM77" s="12"/>
      <c r="HN77" s="12"/>
      <c r="HO77" s="12"/>
      <c r="HP77" s="12"/>
      <c r="HQ77" s="12"/>
      <c r="HR77" s="12"/>
      <c r="HS77" s="12"/>
      <c r="HT77" s="12"/>
      <c r="HU77" s="12"/>
      <c r="HV77" s="12"/>
      <c r="HW77" s="12"/>
      <c r="HX77" s="12"/>
      <c r="HY77" s="12"/>
      <c r="HZ77" s="12"/>
      <c r="IA77" s="12"/>
      <c r="IB77" s="12"/>
      <c r="IC77" s="12"/>
      <c r="ID77" s="12"/>
      <c r="IE77" s="12"/>
      <c r="IF77" s="12"/>
      <c r="IG77" s="12"/>
    </row>
    <row r="78" spans="1:241" ht="60" customHeight="1" x14ac:dyDescent="0.4">
      <c r="A78" s="7"/>
      <c r="B78" s="7"/>
      <c r="C78" s="7"/>
      <c r="D78" s="468"/>
      <c r="E78" s="468" t="s">
        <v>214</v>
      </c>
      <c r="F78" s="410" t="s">
        <v>387</v>
      </c>
      <c r="G78" s="401" t="s">
        <v>39</v>
      </c>
      <c r="H78" s="412">
        <v>15</v>
      </c>
      <c r="I78" s="398">
        <v>3543</v>
      </c>
      <c r="J78" s="393">
        <v>3543</v>
      </c>
      <c r="K78" s="392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392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142.91999999999999</v>
      </c>
      <c r="M78" s="393">
        <v>0</v>
      </c>
      <c r="N78" s="393">
        <f>J78+K78-L78-M78</f>
        <v>3400.08</v>
      </c>
      <c r="O78" s="393"/>
      <c r="Q78" s="36"/>
      <c r="R78" s="46"/>
      <c r="S78" s="47"/>
    </row>
    <row r="79" spans="1:241" ht="60" customHeight="1" x14ac:dyDescent="0.4">
      <c r="A79" s="7"/>
      <c r="B79" s="7"/>
      <c r="C79" s="7"/>
      <c r="D79" s="468"/>
      <c r="E79" s="468" t="s">
        <v>214</v>
      </c>
      <c r="F79" s="410" t="s">
        <v>445</v>
      </c>
      <c r="G79" s="397" t="s">
        <v>446</v>
      </c>
      <c r="H79" s="412">
        <v>15</v>
      </c>
      <c r="I79" s="398">
        <v>3052</v>
      </c>
      <c r="J79" s="393">
        <v>3052</v>
      </c>
      <c r="K79" s="392">
        <f t="shared" ref="K79" si="29">IFERROR(IF(ROUND((((J79/H79*30.4)-VLOOKUP((J79/H79*30.4),TARIFA,1))*VLOOKUP((J79/H79*30.4),TARIFA,3)+VLOOKUP((J79/H79*30.4),TARIFA,2)-VLOOKUP((J79/H79*30.4),SUBSIDIO,2))/30.4*H79,2)&lt;0,ROUND(-(((J79/H79*30.4)-VLOOKUP((J79/H79*30.4),TARIFA,1))*VLOOKUP((J79/H79*30.4),TARIFA,3)+VLOOKUP((J79/H79*30.4),TARIFA,2)-VLOOKUP((J79/H79*30.4),SUBSIDIO,2))/30.4*H79,2),0),0)</f>
        <v>0</v>
      </c>
      <c r="L79" s="392">
        <f t="shared" ref="L79" si="30">IFERROR(IF(ROUND((((J79/H79*30.4)-VLOOKUP((J79/H79*30.4),TARIFA,1))*VLOOKUP((J79/H79*30.4),TARIFA,3)+VLOOKUP((J79/H79*30.4),TARIFA,2)-VLOOKUP((J79/H79*30.4),SUBSIDIO,2))/30.4*H79,2)&gt;0,ROUND((((J79/H79*30.4)-VLOOKUP((J79/H79*30.4),TARIFA,1))*VLOOKUP((J79/H79*30.4),TARIFA,3)+VLOOKUP((J79/H79*30.4),TARIFA,2)-VLOOKUP((J79/H79*30.4),SUBSIDIO,2))/30.4*H79,2),0),0)</f>
        <v>51.49</v>
      </c>
      <c r="M79" s="393"/>
      <c r="N79" s="398">
        <f t="shared" ref="N79" si="31">J79+K79-L79-M79</f>
        <v>3000.51</v>
      </c>
      <c r="O79" s="393"/>
      <c r="Q79" s="36"/>
      <c r="R79" s="46"/>
      <c r="S79" s="47"/>
    </row>
    <row r="80" spans="1:241" ht="60" customHeight="1" x14ac:dyDescent="0.4">
      <c r="A80" s="7"/>
      <c r="B80" s="7"/>
      <c r="C80" s="7"/>
      <c r="D80" s="468"/>
      <c r="E80" s="468" t="s">
        <v>214</v>
      </c>
      <c r="F80" s="388" t="s">
        <v>388</v>
      </c>
      <c r="G80" s="388" t="s">
        <v>389</v>
      </c>
      <c r="H80" s="390">
        <v>15</v>
      </c>
      <c r="I80" s="398">
        <v>5503</v>
      </c>
      <c r="J80" s="393">
        <f>I80</f>
        <v>5503</v>
      </c>
      <c r="K80" s="392">
        <f t="shared" si="13"/>
        <v>0</v>
      </c>
      <c r="L80" s="392">
        <f t="shared" si="14"/>
        <v>502.4</v>
      </c>
      <c r="M80" s="393">
        <v>0</v>
      </c>
      <c r="N80" s="398">
        <f t="shared" si="15"/>
        <v>5000.6000000000004</v>
      </c>
      <c r="O80" s="393"/>
      <c r="R80" s="45"/>
      <c r="S80" s="47"/>
    </row>
    <row r="81" spans="4:19" ht="45" hidden="1" customHeight="1" x14ac:dyDescent="0.35">
      <c r="D81" s="230"/>
      <c r="E81" s="234"/>
      <c r="F81" s="117"/>
      <c r="G81" s="120"/>
      <c r="H81" s="119"/>
      <c r="I81" s="115"/>
      <c r="J81" s="114"/>
      <c r="K81" s="113"/>
      <c r="L81" s="113"/>
      <c r="M81" s="114"/>
      <c r="N81" s="114"/>
      <c r="O81" s="17"/>
      <c r="R81" s="45"/>
      <c r="S81" s="47"/>
    </row>
    <row r="82" spans="4:19" ht="45" hidden="1" customHeight="1" x14ac:dyDescent="0.35">
      <c r="D82" s="230"/>
      <c r="E82" s="234"/>
      <c r="F82" s="117"/>
      <c r="G82" s="120"/>
      <c r="H82" s="119"/>
      <c r="I82" s="121"/>
      <c r="J82" s="114"/>
      <c r="K82" s="113"/>
      <c r="L82" s="113"/>
      <c r="M82" s="114">
        <v>0</v>
      </c>
      <c r="N82" s="114"/>
      <c r="O82" s="17"/>
      <c r="R82" s="45"/>
      <c r="S82" s="47"/>
    </row>
    <row r="83" spans="4:19" ht="38.1" customHeight="1" x14ac:dyDescent="0.25">
      <c r="D83" s="231"/>
      <c r="E83" s="231"/>
      <c r="F83" s="107"/>
      <c r="G83" s="108"/>
      <c r="H83" s="109"/>
      <c r="I83" s="110">
        <f>SUM(I51:I80)</f>
        <v>96976</v>
      </c>
      <c r="J83" s="110">
        <f t="shared" ref="J83:N83" si="32">SUM(J51:J80)</f>
        <v>96976</v>
      </c>
      <c r="K83" s="110">
        <f t="shared" si="32"/>
        <v>15.06</v>
      </c>
      <c r="L83" s="110">
        <f t="shared" si="32"/>
        <v>5579.319999999997</v>
      </c>
      <c r="M83" s="110">
        <f t="shared" si="32"/>
        <v>0</v>
      </c>
      <c r="N83" s="110">
        <f t="shared" si="32"/>
        <v>91411.739999999991</v>
      </c>
      <c r="O83" s="69"/>
      <c r="R83" s="45"/>
      <c r="S83" s="47"/>
    </row>
    <row r="84" spans="4:19" ht="38.1" customHeight="1" x14ac:dyDescent="0.45">
      <c r="D84" s="576" t="s">
        <v>12</v>
      </c>
      <c r="E84" s="576"/>
      <c r="F84" s="576"/>
      <c r="G84" s="576"/>
      <c r="H84" s="576"/>
      <c r="I84" s="576"/>
      <c r="J84" s="576"/>
      <c r="K84" s="576"/>
      <c r="L84" s="576"/>
      <c r="M84" s="576"/>
      <c r="N84" s="576"/>
      <c r="O84" s="576"/>
      <c r="R84" s="45"/>
      <c r="S84" s="47"/>
    </row>
    <row r="85" spans="4:19" ht="38.1" customHeight="1" x14ac:dyDescent="0.45">
      <c r="D85" s="576" t="s">
        <v>139</v>
      </c>
      <c r="E85" s="576"/>
      <c r="F85" s="576"/>
      <c r="G85" s="576"/>
      <c r="H85" s="576"/>
      <c r="I85" s="576"/>
      <c r="J85" s="576"/>
      <c r="K85" s="576"/>
      <c r="L85" s="576"/>
      <c r="M85" s="576"/>
      <c r="N85" s="576"/>
      <c r="O85" s="576"/>
      <c r="R85" s="45"/>
      <c r="S85" s="47"/>
    </row>
    <row r="86" spans="4:19" ht="38.1" customHeight="1" x14ac:dyDescent="0.45">
      <c r="D86" s="575" t="str">
        <f>D5</f>
        <v>NOMINA 2DA QUINCENA DE DICIEMBRE DE 2021</v>
      </c>
      <c r="E86" s="575"/>
      <c r="F86" s="575"/>
      <c r="G86" s="575"/>
      <c r="H86" s="575"/>
      <c r="I86" s="575"/>
      <c r="J86" s="575"/>
      <c r="K86" s="575"/>
      <c r="L86" s="575"/>
      <c r="M86" s="575"/>
      <c r="N86" s="575"/>
      <c r="O86" s="575"/>
      <c r="R86" s="45"/>
      <c r="S86" s="47"/>
    </row>
    <row r="87" spans="4:19" ht="38.1" customHeight="1" x14ac:dyDescent="0.45">
      <c r="D87" s="575" t="s">
        <v>126</v>
      </c>
      <c r="E87" s="575"/>
      <c r="F87" s="575"/>
      <c r="G87" s="575"/>
      <c r="H87" s="575"/>
      <c r="I87" s="575"/>
      <c r="J87" s="575"/>
      <c r="K87" s="575"/>
      <c r="L87" s="575"/>
      <c r="M87" s="575"/>
      <c r="N87" s="575"/>
      <c r="O87" s="575"/>
      <c r="R87" s="45"/>
      <c r="S87" s="47"/>
    </row>
    <row r="88" spans="4:19" ht="38.1" customHeight="1" x14ac:dyDescent="0.4">
      <c r="D88" s="564" t="s">
        <v>237</v>
      </c>
      <c r="E88" s="445" t="s">
        <v>208</v>
      </c>
      <c r="F88" s="446"/>
      <c r="G88" s="446"/>
      <c r="H88" s="447" t="s">
        <v>4</v>
      </c>
      <c r="I88" s="558" t="s">
        <v>0</v>
      </c>
      <c r="J88" s="559"/>
      <c r="K88" s="560"/>
      <c r="L88" s="448"/>
      <c r="M88" s="449"/>
      <c r="N88" s="447"/>
      <c r="O88" s="450"/>
      <c r="R88" s="45"/>
      <c r="S88" s="47"/>
    </row>
    <row r="89" spans="4:19" ht="38.1" customHeight="1" x14ac:dyDescent="0.4">
      <c r="D89" s="565"/>
      <c r="E89" s="451" t="s">
        <v>209</v>
      </c>
      <c r="F89" s="450"/>
      <c r="G89" s="447"/>
      <c r="H89" s="452" t="s">
        <v>5</v>
      </c>
      <c r="I89" s="453" t="s">
        <v>1</v>
      </c>
      <c r="J89" s="453" t="s">
        <v>125</v>
      </c>
      <c r="K89" s="454" t="s">
        <v>129</v>
      </c>
      <c r="L89" s="454"/>
      <c r="M89" s="447" t="s">
        <v>143</v>
      </c>
      <c r="N89" s="447" t="s">
        <v>128</v>
      </c>
      <c r="O89" s="455"/>
      <c r="R89" s="45"/>
      <c r="S89" s="47"/>
    </row>
    <row r="90" spans="4:19" ht="38.1" customHeight="1" x14ac:dyDescent="0.4">
      <c r="D90" s="565"/>
      <c r="E90" s="451"/>
      <c r="F90" s="453"/>
      <c r="G90" s="455" t="s">
        <v>10</v>
      </c>
      <c r="H90" s="447"/>
      <c r="I90" s="447" t="s">
        <v>7</v>
      </c>
      <c r="J90" s="447" t="s">
        <v>128</v>
      </c>
      <c r="K90" s="452" t="s">
        <v>130</v>
      </c>
      <c r="L90" s="452" t="s">
        <v>131</v>
      </c>
      <c r="M90" s="447" t="s">
        <v>145</v>
      </c>
      <c r="N90" s="447" t="s">
        <v>134</v>
      </c>
      <c r="O90" s="453" t="s">
        <v>137</v>
      </c>
      <c r="R90" s="45"/>
      <c r="S90" s="47"/>
    </row>
    <row r="91" spans="4:19" ht="38.1" customHeight="1" x14ac:dyDescent="0.4">
      <c r="D91" s="566"/>
      <c r="E91" s="456"/>
      <c r="F91" s="453" t="s">
        <v>69</v>
      </c>
      <c r="G91" s="453" t="s">
        <v>9</v>
      </c>
      <c r="H91" s="453"/>
      <c r="I91" s="453"/>
      <c r="J91" s="453"/>
      <c r="K91" s="454"/>
      <c r="L91" s="457"/>
      <c r="M91" s="458"/>
      <c r="N91" s="453"/>
      <c r="O91" s="453"/>
      <c r="R91" s="45"/>
      <c r="S91" s="47"/>
    </row>
    <row r="92" spans="4:19" ht="60" customHeight="1" x14ac:dyDescent="0.4">
      <c r="D92" s="378"/>
      <c r="E92" s="379"/>
      <c r="F92" s="380" t="s">
        <v>167</v>
      </c>
      <c r="G92" s="381"/>
      <c r="H92" s="382"/>
      <c r="I92" s="383"/>
      <c r="J92" s="384"/>
      <c r="K92" s="385"/>
      <c r="L92" s="385"/>
      <c r="M92" s="384"/>
      <c r="N92" s="384"/>
      <c r="O92" s="384"/>
      <c r="R92" s="45"/>
      <c r="S92" s="47"/>
    </row>
    <row r="93" spans="4:19" ht="60" customHeight="1" x14ac:dyDescent="0.4">
      <c r="D93" s="386"/>
      <c r="E93" s="387" t="s">
        <v>214</v>
      </c>
      <c r="F93" s="388" t="s">
        <v>360</v>
      </c>
      <c r="G93" s="389" t="s">
        <v>168</v>
      </c>
      <c r="H93" s="390">
        <v>15</v>
      </c>
      <c r="I93" s="391">
        <v>3888</v>
      </c>
      <c r="J93" s="391">
        <v>3888</v>
      </c>
      <c r="K93" s="392">
        <f>IFERROR(IF(ROUND((((J93/H93*30.4)-VLOOKUP((J93/H93*30.4),TARIFA,1))*VLOOKUP((J93/H93*30.4),TARIFA,3)+VLOOKUP((J93/H93*30.4),TARIFA,2)-VLOOKUP((J93/H93*30.4),SUBSIDIO,2))/30.4*H93,2)&lt;0,ROUND(-(((J93/H93*30.4)-VLOOKUP((J93/H93*30.4),TARIFA,1))*VLOOKUP((J93/H93*30.4),TARIFA,3)+VLOOKUP((J93/H93*30.4),TARIFA,2)-VLOOKUP((J93/H93*30.4),SUBSIDIO,2))/30.4*H93,2),0),0)</f>
        <v>0</v>
      </c>
      <c r="L93" s="393">
        <f>IFERROR(IF(ROUND((((J93/H93*30.4)-VLOOKUP((J93/H93*30.4),TARIFA,1))*VLOOKUP((J93/H93*30.4),TARIFA,3)+VLOOKUP((J93/H93*30.4),TARIFA,2)-VLOOKUP((J93/H93*30.4),SUBSIDIO,2))/30.4*H93,2)&gt;0,ROUND((((J93/H93*30.4)-VLOOKUP((J93/H93*30.4),TARIFA,1))*VLOOKUP((J93/H93*30.4),TARIFA,3)+VLOOKUP((J93/H93*30.4),TARIFA,2)-VLOOKUP((J93/H93*30.4),SUBSIDIO,2))/30.4*H93,2),0),0)</f>
        <v>287.83</v>
      </c>
      <c r="M93" s="393">
        <v>0</v>
      </c>
      <c r="N93" s="393">
        <f t="shared" ref="N93" si="33">J93+K93-L93</f>
        <v>3600.17</v>
      </c>
      <c r="O93" s="393"/>
      <c r="R93" s="45"/>
      <c r="S93" s="47"/>
    </row>
    <row r="94" spans="4:19" ht="60" hidden="1" customHeight="1" x14ac:dyDescent="0.4">
      <c r="D94" s="386"/>
      <c r="E94" s="394"/>
      <c r="F94" s="395"/>
      <c r="G94" s="396"/>
      <c r="H94" s="390"/>
      <c r="I94" s="391"/>
      <c r="J94" s="391"/>
      <c r="K94" s="392"/>
      <c r="L94" s="393"/>
      <c r="M94" s="393"/>
      <c r="N94" s="393"/>
      <c r="O94" s="393"/>
      <c r="R94" s="45"/>
      <c r="S94" s="47"/>
    </row>
    <row r="95" spans="4:19" ht="60" hidden="1" customHeight="1" x14ac:dyDescent="0.4">
      <c r="D95" s="386"/>
      <c r="E95" s="394"/>
      <c r="F95" s="397"/>
      <c r="G95" s="396"/>
      <c r="H95" s="390">
        <v>15</v>
      </c>
      <c r="I95" s="398">
        <v>0</v>
      </c>
      <c r="J95" s="393">
        <v>0</v>
      </c>
      <c r="K95" s="392"/>
      <c r="L95" s="392">
        <f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393"/>
      <c r="N95" s="393">
        <f t="shared" ref="N95" si="34">J95+K95-L95-M95</f>
        <v>0</v>
      </c>
      <c r="O95" s="393"/>
      <c r="R95" s="45"/>
      <c r="S95" s="47"/>
    </row>
    <row r="96" spans="4:19" ht="60" customHeight="1" x14ac:dyDescent="0.4">
      <c r="D96" s="386"/>
      <c r="E96" s="399"/>
      <c r="F96" s="400" t="s">
        <v>169</v>
      </c>
      <c r="G96" s="396"/>
      <c r="H96" s="390"/>
      <c r="I96" s="398"/>
      <c r="J96" s="393"/>
      <c r="K96" s="392"/>
      <c r="L96" s="392"/>
      <c r="M96" s="393"/>
      <c r="N96" s="393"/>
      <c r="O96" s="393"/>
      <c r="R96" s="45"/>
      <c r="S96" s="47"/>
    </row>
    <row r="97" spans="4:19" ht="60" customHeight="1" x14ac:dyDescent="0.4">
      <c r="D97" s="386" t="s">
        <v>253</v>
      </c>
      <c r="E97" s="399" t="s">
        <v>450</v>
      </c>
      <c r="F97" s="401" t="s">
        <v>273</v>
      </c>
      <c r="G97" s="396" t="s">
        <v>170</v>
      </c>
      <c r="H97" s="390">
        <v>15</v>
      </c>
      <c r="I97" s="398">
        <v>3052</v>
      </c>
      <c r="J97" s="393">
        <v>3052</v>
      </c>
      <c r="K97" s="392">
        <f t="shared" ref="K97" si="35">IFERROR(IF(ROUND((((J97/H97*30.4)-VLOOKUP((J97/H97*30.4),TARIFA,1))*VLOOKUP((J97/H97*30.4),TARIFA,3)+VLOOKUP((J97/H97*30.4),TARIFA,2)-VLOOKUP((J97/H97*30.4),SUBSIDIO,2))/30.4*H97,2)&lt;0,ROUND(-(((J97/H97*30.4)-VLOOKUP((J97/H97*30.4),TARIFA,1))*VLOOKUP((J97/H97*30.4),TARIFA,3)+VLOOKUP((J97/H97*30.4),TARIFA,2)-VLOOKUP((J97/H97*30.4),SUBSIDIO,2))/30.4*H97,2),0),0)</f>
        <v>0</v>
      </c>
      <c r="L97" s="392">
        <f t="shared" ref="L97" si="36">IFERROR(IF(ROUND((((J97/H97*30.4)-VLOOKUP((J97/H97*30.4),TARIFA,1))*VLOOKUP((J97/H97*30.4),TARIFA,3)+VLOOKUP((J97/H97*30.4),TARIFA,2)-VLOOKUP((J97/H97*30.4),SUBSIDIO,2))/30.4*H97,2)&gt;0,ROUND((((J97/H97*30.4)-VLOOKUP((J97/H97*30.4),TARIFA,1))*VLOOKUP((J97/H97*30.4),TARIFA,3)+VLOOKUP((J97/H97*30.4),TARIFA,2)-VLOOKUP((J97/H97*30.4),SUBSIDIO,2))/30.4*H97,2),0),0)</f>
        <v>51.49</v>
      </c>
      <c r="M97" s="393"/>
      <c r="N97" s="393">
        <f t="shared" ref="N97" si="37">J97+K97-L97-M97</f>
        <v>3000.51</v>
      </c>
      <c r="O97" s="393"/>
      <c r="R97" s="45"/>
      <c r="S97" s="47"/>
    </row>
    <row r="98" spans="4:19" ht="60" customHeight="1" x14ac:dyDescent="0.4">
      <c r="D98" s="386"/>
      <c r="E98" s="394"/>
      <c r="F98" s="395" t="s">
        <v>329</v>
      </c>
      <c r="G98" s="396"/>
      <c r="H98" s="390"/>
      <c r="I98" s="393"/>
      <c r="J98" s="393"/>
      <c r="K98" s="392"/>
      <c r="L98" s="392"/>
      <c r="M98" s="393"/>
      <c r="N98" s="393"/>
      <c r="O98" s="393"/>
      <c r="R98" s="45"/>
      <c r="S98" s="47"/>
    </row>
    <row r="99" spans="4:19" ht="60" customHeight="1" x14ac:dyDescent="0.4">
      <c r="D99" s="386"/>
      <c r="E99" s="394" t="s">
        <v>450</v>
      </c>
      <c r="F99" s="397" t="s">
        <v>330</v>
      </c>
      <c r="G99" s="396" t="s">
        <v>331</v>
      </c>
      <c r="H99" s="390">
        <v>15</v>
      </c>
      <c r="I99" s="391">
        <v>3888</v>
      </c>
      <c r="J99" s="391">
        <v>3888</v>
      </c>
      <c r="K99" s="392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393">
        <f>IFERROR(IF(ROUND((((J99/H99*30.4)-VLOOKUP((J99/H99*30.4),TARIFA,1))*VLOOKUP((J99/H99*30.4),TARIFA,3)+VLOOKUP((J99/H99*30.4),TARIFA,2)-VLOOKUP((J99/H99*30.4),SUBSIDIO,2))/30.4*H99,2)&gt;0,ROUND((((J99/H99*30.4)-VLOOKUP((J99/H99*30.4),TARIFA,1))*VLOOKUP((J99/H99*30.4),TARIFA,3)+VLOOKUP((J99/H99*30.4),TARIFA,2)-VLOOKUP((J99/H99*30.4),SUBSIDIO,2))/30.4*H99,2),0),0)</f>
        <v>287.83</v>
      </c>
      <c r="M99" s="393">
        <v>0</v>
      </c>
      <c r="N99" s="393">
        <f t="shared" ref="N99" si="38">J99+K99-L99</f>
        <v>3600.17</v>
      </c>
      <c r="O99" s="393"/>
      <c r="R99" s="45"/>
      <c r="S99" s="47"/>
    </row>
    <row r="100" spans="4:19" ht="60" hidden="1" customHeight="1" x14ac:dyDescent="0.4">
      <c r="D100" s="386"/>
      <c r="E100" s="394"/>
      <c r="F100" s="402"/>
      <c r="G100" s="396"/>
      <c r="H100" s="390"/>
      <c r="I100" s="391"/>
      <c r="J100" s="391"/>
      <c r="K100" s="392"/>
      <c r="L100" s="393"/>
      <c r="M100" s="393"/>
      <c r="N100" s="393"/>
      <c r="O100" s="393"/>
      <c r="R100" s="45"/>
      <c r="S100" s="47"/>
    </row>
    <row r="101" spans="4:19" ht="60" hidden="1" customHeight="1" x14ac:dyDescent="0.4">
      <c r="D101" s="386"/>
      <c r="E101" s="394"/>
      <c r="F101" s="397"/>
      <c r="G101" s="396"/>
      <c r="H101" s="390"/>
      <c r="I101" s="398"/>
      <c r="J101" s="393"/>
      <c r="K101" s="392"/>
      <c r="L101" s="392"/>
      <c r="M101" s="393"/>
      <c r="N101" s="393"/>
      <c r="O101" s="393"/>
      <c r="R101" s="45"/>
      <c r="S101" s="47"/>
    </row>
    <row r="102" spans="4:19" ht="60" hidden="1" customHeight="1" x14ac:dyDescent="0.4">
      <c r="D102" s="386"/>
      <c r="E102" s="387"/>
      <c r="F102" s="402"/>
      <c r="G102" s="389"/>
      <c r="H102" s="390"/>
      <c r="I102" s="398"/>
      <c r="J102" s="393"/>
      <c r="K102" s="392"/>
      <c r="L102" s="392"/>
      <c r="M102" s="393"/>
      <c r="N102" s="393"/>
      <c r="O102" s="393"/>
      <c r="R102" s="45"/>
      <c r="S102" s="47"/>
    </row>
    <row r="103" spans="4:19" ht="60" hidden="1" customHeight="1" x14ac:dyDescent="0.4">
      <c r="D103" s="386"/>
      <c r="E103" s="387"/>
      <c r="F103" s="388"/>
      <c r="G103" s="388"/>
      <c r="H103" s="390"/>
      <c r="I103" s="393"/>
      <c r="J103" s="393"/>
      <c r="K103" s="392"/>
      <c r="L103" s="392"/>
      <c r="M103" s="393"/>
      <c r="N103" s="393"/>
      <c r="O103" s="393"/>
      <c r="R103" s="45"/>
      <c r="S103" s="47"/>
    </row>
    <row r="104" spans="4:19" ht="60" hidden="1" customHeight="1" x14ac:dyDescent="0.4">
      <c r="D104" s="386"/>
      <c r="E104" s="387"/>
      <c r="F104" s="388"/>
      <c r="G104" s="388"/>
      <c r="H104" s="390"/>
      <c r="I104" s="393"/>
      <c r="J104" s="393"/>
      <c r="K104" s="392"/>
      <c r="L104" s="392"/>
      <c r="M104" s="393"/>
      <c r="N104" s="393"/>
      <c r="O104" s="393"/>
      <c r="R104" s="45"/>
      <c r="S104" s="47"/>
    </row>
    <row r="105" spans="4:19" ht="60" customHeight="1" x14ac:dyDescent="0.4">
      <c r="D105" s="386"/>
      <c r="E105" s="387"/>
      <c r="F105" s="402" t="s">
        <v>339</v>
      </c>
      <c r="G105" s="388"/>
      <c r="H105" s="390"/>
      <c r="I105" s="393"/>
      <c r="J105" s="393"/>
      <c r="K105" s="392"/>
      <c r="L105" s="392"/>
      <c r="M105" s="393"/>
      <c r="N105" s="393"/>
      <c r="O105" s="393"/>
      <c r="R105" s="45"/>
      <c r="S105" s="47"/>
    </row>
    <row r="106" spans="4:19" ht="60" customHeight="1" x14ac:dyDescent="0.4">
      <c r="D106" s="386"/>
      <c r="E106" s="387" t="s">
        <v>450</v>
      </c>
      <c r="F106" s="388" t="s">
        <v>340</v>
      </c>
      <c r="G106" s="388" t="s">
        <v>427</v>
      </c>
      <c r="H106" s="390">
        <v>15</v>
      </c>
      <c r="I106" s="391">
        <v>3888</v>
      </c>
      <c r="J106" s="391">
        <v>3888</v>
      </c>
      <c r="K106" s="392">
        <f>IFERROR(IF(ROUND((((J106/H106*30.4)-VLOOKUP((J106/H106*30.4),TARIFA,1))*VLOOKUP((J106/H106*30.4),TARIFA,3)+VLOOKUP((J106/H106*30.4),TARIFA,2)-VLOOKUP((J106/H106*30.4),SUBSIDIO,2))/30.4*H106,2)&lt;0,ROUND(-(((J106/H106*30.4)-VLOOKUP((J106/H106*30.4),TARIFA,1))*VLOOKUP((J106/H106*30.4),TARIFA,3)+VLOOKUP((J106/H106*30.4),TARIFA,2)-VLOOKUP((J106/H106*30.4),SUBSIDIO,2))/30.4*H106,2),0),0)</f>
        <v>0</v>
      </c>
      <c r="L106" s="393">
        <f>IFERROR(IF(ROUND((((J106/H106*30.4)-VLOOKUP((J106/H106*30.4),TARIFA,1))*VLOOKUP((J106/H106*30.4),TARIFA,3)+VLOOKUP((J106/H106*30.4),TARIFA,2)-VLOOKUP((J106/H106*30.4),SUBSIDIO,2))/30.4*H106,2)&gt;0,ROUND((((J106/H106*30.4)-VLOOKUP((J106/H106*30.4),TARIFA,1))*VLOOKUP((J106/H106*30.4),TARIFA,3)+VLOOKUP((J106/H106*30.4),TARIFA,2)-VLOOKUP((J106/H106*30.4),SUBSIDIO,2))/30.4*H106,2),0),0)</f>
        <v>287.83</v>
      </c>
      <c r="M106" s="393">
        <v>0</v>
      </c>
      <c r="N106" s="393">
        <f t="shared" ref="N106:N107" si="39">J106+K106-L106</f>
        <v>3600.17</v>
      </c>
      <c r="O106" s="393"/>
      <c r="R106" s="45"/>
      <c r="S106" s="47"/>
    </row>
    <row r="107" spans="4:19" ht="60" customHeight="1" x14ac:dyDescent="0.4">
      <c r="D107" s="386"/>
      <c r="E107" s="387" t="s">
        <v>214</v>
      </c>
      <c r="F107" s="388" t="s">
        <v>443</v>
      </c>
      <c r="G107" s="388" t="s">
        <v>444</v>
      </c>
      <c r="H107" s="390">
        <v>15</v>
      </c>
      <c r="I107" s="391">
        <v>4101</v>
      </c>
      <c r="J107" s="391">
        <v>4101</v>
      </c>
      <c r="K107" s="392"/>
      <c r="L107" s="393">
        <f>IFERROR(IF(ROUND((((J107/H107*30.4)-VLOOKUP((J107/H107*30.4),TARIFA,1))*VLOOKUP((J107/H107*30.4),TARIFA,3)+VLOOKUP((J107/H107*30.4),TARIFA,2)-VLOOKUP((J107/H107*30.4),SUBSIDIO,2))/30.4*H107,2)&gt;0,ROUND((((J107/H107*30.4)-VLOOKUP((J107/H107*30.4),TARIFA,1))*VLOOKUP((J107/H107*30.4),TARIFA,3)+VLOOKUP((J107/H107*30.4),TARIFA,2)-VLOOKUP((J107/H107*30.4),SUBSIDIO,2))/30.4*H107,2),0),0)</f>
        <v>311</v>
      </c>
      <c r="M107" s="393"/>
      <c r="N107" s="393">
        <f t="shared" si="39"/>
        <v>3790</v>
      </c>
      <c r="O107" s="393"/>
      <c r="R107" s="45"/>
      <c r="S107" s="47"/>
    </row>
    <row r="108" spans="4:19" ht="60" customHeight="1" x14ac:dyDescent="0.4">
      <c r="D108" s="386"/>
      <c r="E108" s="387" t="s">
        <v>214</v>
      </c>
      <c r="F108" s="388" t="s">
        <v>452</v>
      </c>
      <c r="G108" s="388" t="s">
        <v>453</v>
      </c>
      <c r="H108" s="390">
        <v>15</v>
      </c>
      <c r="I108" s="398">
        <v>5503</v>
      </c>
      <c r="J108" s="393">
        <f>I108</f>
        <v>5503</v>
      </c>
      <c r="K108" s="392">
        <f t="shared" ref="K108" si="40">IFERROR(IF(ROUND((((J108/H108*30.4)-VLOOKUP((J108/H108*30.4),TARIFA,1))*VLOOKUP((J108/H108*30.4),TARIFA,3)+VLOOKUP((J108/H108*30.4),TARIFA,2)-VLOOKUP((J108/H108*30.4),SUBSIDIO,2))/30.4*H108,2)&lt;0,ROUND(-(((J108/H108*30.4)-VLOOKUP((J108/H108*30.4),TARIFA,1))*VLOOKUP((J108/H108*30.4),TARIFA,3)+VLOOKUP((J108/H108*30.4),TARIFA,2)-VLOOKUP((J108/H108*30.4),SUBSIDIO,2))/30.4*H108,2),0),0)</f>
        <v>0</v>
      </c>
      <c r="L108" s="392">
        <f t="shared" ref="L108" si="41">IFERROR(IF(ROUND((((J108/H108*30.4)-VLOOKUP((J108/H108*30.4),TARIFA,1))*VLOOKUP((J108/H108*30.4),TARIFA,3)+VLOOKUP((J108/H108*30.4),TARIFA,2)-VLOOKUP((J108/H108*30.4),SUBSIDIO,2))/30.4*H108,2)&gt;0,ROUND((((J108/H108*30.4)-VLOOKUP((J108/H108*30.4),TARIFA,1))*VLOOKUP((J108/H108*30.4),TARIFA,3)+VLOOKUP((J108/H108*30.4),TARIFA,2)-VLOOKUP((J108/H108*30.4),SUBSIDIO,2))/30.4*H108,2),0),0)</f>
        <v>502.4</v>
      </c>
      <c r="M108" s="393">
        <v>0</v>
      </c>
      <c r="N108" s="398">
        <f t="shared" ref="N108" si="42">J108+K108-L108-M108</f>
        <v>5000.6000000000004</v>
      </c>
      <c r="O108" s="393"/>
      <c r="R108" s="45"/>
      <c r="S108" s="47"/>
    </row>
    <row r="109" spans="4:19" ht="60" customHeight="1" x14ac:dyDescent="0.4">
      <c r="D109" s="386"/>
      <c r="E109" s="387"/>
      <c r="F109" s="402" t="s">
        <v>171</v>
      </c>
      <c r="G109" s="388"/>
      <c r="H109" s="390"/>
      <c r="I109" s="398"/>
      <c r="J109" s="393"/>
      <c r="K109" s="392"/>
      <c r="L109" s="392"/>
      <c r="M109" s="393"/>
      <c r="N109" s="393"/>
      <c r="O109" s="393"/>
      <c r="R109" s="45"/>
      <c r="S109" s="47"/>
    </row>
    <row r="110" spans="4:19" ht="60" customHeight="1" x14ac:dyDescent="0.4">
      <c r="D110" s="386" t="s">
        <v>254</v>
      </c>
      <c r="E110" s="387" t="s">
        <v>450</v>
      </c>
      <c r="F110" s="388" t="s">
        <v>178</v>
      </c>
      <c r="G110" s="388" t="s">
        <v>33</v>
      </c>
      <c r="H110" s="390">
        <v>14</v>
      </c>
      <c r="I110" s="398">
        <v>2849</v>
      </c>
      <c r="J110" s="393">
        <v>2849</v>
      </c>
      <c r="K110" s="392">
        <f t="shared" ref="K110" si="43">IFERROR(IF(ROUND((((J110/H110*30.4)-VLOOKUP((J110/H110*30.4),TARIFA,1))*VLOOKUP((J110/H110*30.4),TARIFA,3)+VLOOKUP((J110/H110*30.4),TARIFA,2)-VLOOKUP((J110/H110*30.4),SUBSIDIO,2))/30.4*H110,2)&lt;0,ROUND(-(((J110/H110*30.4)-VLOOKUP((J110/H110*30.4),TARIFA,1))*VLOOKUP((J110/H110*30.4),TARIFA,3)+VLOOKUP((J110/H110*30.4),TARIFA,2)-VLOOKUP((J110/H110*30.4),SUBSIDIO,2))/30.4*H110,2),0),0)</f>
        <v>0</v>
      </c>
      <c r="L110" s="392">
        <v>48.05</v>
      </c>
      <c r="M110" s="393"/>
      <c r="N110" s="398">
        <f t="shared" ref="N110" si="44">J110+K110-L110-M110</f>
        <v>2800.95</v>
      </c>
      <c r="O110" s="393"/>
      <c r="R110" s="45"/>
      <c r="S110" s="47"/>
    </row>
    <row r="111" spans="4:19" ht="60" customHeight="1" x14ac:dyDescent="0.4">
      <c r="D111" s="386" t="s">
        <v>255</v>
      </c>
      <c r="E111" s="387" t="s">
        <v>450</v>
      </c>
      <c r="F111" s="388" t="s">
        <v>172</v>
      </c>
      <c r="G111" s="388" t="s">
        <v>33</v>
      </c>
      <c r="H111" s="390">
        <v>14</v>
      </c>
      <c r="I111" s="398">
        <v>2849</v>
      </c>
      <c r="J111" s="393">
        <v>2849</v>
      </c>
      <c r="K111" s="392">
        <f t="shared" ref="K111" si="45">IFERROR(IF(ROUND((((J111/H111*30.4)-VLOOKUP((J111/H111*30.4),TARIFA,1))*VLOOKUP((J111/H111*30.4),TARIFA,3)+VLOOKUP((J111/H111*30.4),TARIFA,2)-VLOOKUP((J111/H111*30.4),SUBSIDIO,2))/30.4*H111,2)&lt;0,ROUND(-(((J111/H111*30.4)-VLOOKUP((J111/H111*30.4),TARIFA,1))*VLOOKUP((J111/H111*30.4),TARIFA,3)+VLOOKUP((J111/H111*30.4),TARIFA,2)-VLOOKUP((J111/H111*30.4),SUBSIDIO,2))/30.4*H111,2),0),0)</f>
        <v>0</v>
      </c>
      <c r="L111" s="392">
        <v>48.05</v>
      </c>
      <c r="M111" s="393"/>
      <c r="N111" s="398">
        <f t="shared" ref="N111" si="46">J111+K111-L111-M111</f>
        <v>2800.95</v>
      </c>
      <c r="O111" s="393"/>
      <c r="R111" s="45"/>
      <c r="S111" s="47"/>
    </row>
    <row r="112" spans="4:19" ht="60" hidden="1" customHeight="1" x14ac:dyDescent="0.4">
      <c r="D112" s="386"/>
      <c r="E112" s="387"/>
      <c r="F112" s="388"/>
      <c r="G112" s="388"/>
      <c r="H112" s="390"/>
      <c r="I112" s="393"/>
      <c r="J112" s="393"/>
      <c r="K112" s="392"/>
      <c r="L112" s="392"/>
      <c r="M112" s="393"/>
      <c r="N112" s="393"/>
      <c r="O112" s="393"/>
      <c r="R112" s="45"/>
      <c r="S112" s="47"/>
    </row>
    <row r="113" spans="4:19" ht="60" customHeight="1" x14ac:dyDescent="0.4">
      <c r="D113" s="386"/>
      <c r="E113" s="459"/>
      <c r="F113" s="402" t="s">
        <v>150</v>
      </c>
      <c r="G113" s="388"/>
      <c r="H113" s="390"/>
      <c r="I113" s="398"/>
      <c r="J113" s="393"/>
      <c r="K113" s="392"/>
      <c r="L113" s="392"/>
      <c r="M113" s="393"/>
      <c r="N113" s="393"/>
      <c r="O113" s="393"/>
      <c r="R113" s="45"/>
      <c r="S113" s="47"/>
    </row>
    <row r="114" spans="4:19" ht="60" customHeight="1" x14ac:dyDescent="0.4">
      <c r="D114" s="386"/>
      <c r="E114" s="459" t="s">
        <v>450</v>
      </c>
      <c r="F114" s="388" t="s">
        <v>344</v>
      </c>
      <c r="G114" s="388" t="s">
        <v>345</v>
      </c>
      <c r="H114" s="390">
        <v>15</v>
      </c>
      <c r="I114" s="391">
        <v>3888</v>
      </c>
      <c r="J114" s="391">
        <v>3888</v>
      </c>
      <c r="K114" s="392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0</v>
      </c>
      <c r="L114" s="393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287.83</v>
      </c>
      <c r="M114" s="393">
        <v>0</v>
      </c>
      <c r="N114" s="393">
        <f t="shared" ref="N114" si="47">J114+K114-L114</f>
        <v>3600.17</v>
      </c>
      <c r="O114" s="393"/>
      <c r="R114" s="45"/>
      <c r="S114" s="47"/>
    </row>
    <row r="115" spans="4:19" ht="60" customHeight="1" x14ac:dyDescent="0.4">
      <c r="D115" s="386"/>
      <c r="E115" s="459" t="s">
        <v>214</v>
      </c>
      <c r="F115" s="388" t="s">
        <v>346</v>
      </c>
      <c r="G115" s="389" t="s">
        <v>294</v>
      </c>
      <c r="H115" s="390">
        <v>15</v>
      </c>
      <c r="I115" s="398">
        <v>3299</v>
      </c>
      <c r="J115" s="393">
        <v>3299</v>
      </c>
      <c r="K115" s="392"/>
      <c r="L115" s="392">
        <f>IFERROR(IF(ROUND((((J115/H115*30.4)-VLOOKUP((J115/H115*30.4),TARIFA,1))*VLOOKUP((J115/H115*30.4),TARIFA,3)+VLOOKUP((J115/H115*30.4),TARIFA,2)-VLOOKUP((J115/H115*30.4),SUBSIDIO,2))/30.4*H115,2)&gt;0,ROUND((((J115/H115*30.4)-VLOOKUP((J115/H115*30.4),TARIFA,1))*VLOOKUP((J115/H115*30.4),TARIFA,3)+VLOOKUP((J115/H115*30.4),TARIFA,2)-VLOOKUP((J115/H115*30.4),SUBSIDIO,2))/30.4*H115,2),0),0)</f>
        <v>98.64</v>
      </c>
      <c r="M115" s="393"/>
      <c r="N115" s="393">
        <f t="shared" ref="N115" si="48">J115+K115-L115-M115</f>
        <v>3200.36</v>
      </c>
      <c r="O115" s="393"/>
      <c r="R115" s="45"/>
      <c r="S115" s="47"/>
    </row>
    <row r="116" spans="4:19" ht="60" customHeight="1" x14ac:dyDescent="0.4">
      <c r="D116" s="386"/>
      <c r="E116" s="387"/>
      <c r="F116" s="402" t="s">
        <v>390</v>
      </c>
      <c r="G116" s="388"/>
      <c r="H116" s="390"/>
      <c r="I116" s="398"/>
      <c r="J116" s="393"/>
      <c r="K116" s="392"/>
      <c r="L116" s="392"/>
      <c r="M116" s="393"/>
      <c r="N116" s="393"/>
      <c r="O116" s="393"/>
      <c r="R116" s="45"/>
      <c r="S116" s="47"/>
    </row>
    <row r="117" spans="4:19" ht="60" customHeight="1" x14ac:dyDescent="0.4">
      <c r="D117" s="386"/>
      <c r="E117" s="387" t="s">
        <v>450</v>
      </c>
      <c r="F117" s="388" t="s">
        <v>391</v>
      </c>
      <c r="G117" s="389" t="s">
        <v>392</v>
      </c>
      <c r="H117" s="390">
        <v>15</v>
      </c>
      <c r="I117" s="398">
        <v>3543</v>
      </c>
      <c r="J117" s="393">
        <v>3543</v>
      </c>
      <c r="K117" s="392">
        <f>IFERROR(IF(ROUND((((J117/H117*30.4)-VLOOKUP((J117/H117*30.4),TARIFA,1))*VLOOKUP((J117/H117*30.4),TARIFA,3)+VLOOKUP((J117/H117*30.4),TARIFA,2)-VLOOKUP((J117/H117*30.4),SUBSIDIO,2))/30.4*H117,2)&lt;0,ROUND(-(((J117/H117*30.4)-VLOOKUP((J117/H117*30.4),TARIFA,1))*VLOOKUP((J117/H117*30.4),TARIFA,3)+VLOOKUP((J117/H117*30.4),TARIFA,2)-VLOOKUP((J117/H117*30.4),SUBSIDIO,2))/30.4*H117,2),0),0)</f>
        <v>0</v>
      </c>
      <c r="L117" s="392">
        <f>IFERROR(IF(ROUND((((J117/H117*30.4)-VLOOKUP((J117/H117*30.4),TARIFA,1))*VLOOKUP((J117/H117*30.4),TARIFA,3)+VLOOKUP((J117/H117*30.4),TARIFA,2)-VLOOKUP((J117/H117*30.4),SUBSIDIO,2))/30.4*H117,2)&gt;0,ROUND((((J117/H117*30.4)-VLOOKUP((J117/H117*30.4),TARIFA,1))*VLOOKUP((J117/H117*30.4),TARIFA,3)+VLOOKUP((J117/H117*30.4),TARIFA,2)-VLOOKUP((J117/H117*30.4),SUBSIDIO,2))/30.4*H117,2),0),0)</f>
        <v>142.91999999999999</v>
      </c>
      <c r="M117" s="393">
        <v>0</v>
      </c>
      <c r="N117" s="393">
        <f>J117+K117-L117-M117</f>
        <v>3400.08</v>
      </c>
      <c r="O117" s="393"/>
      <c r="R117" s="45"/>
      <c r="S117" s="47"/>
    </row>
    <row r="118" spans="4:19" ht="0.75" customHeight="1" x14ac:dyDescent="0.4">
      <c r="D118" s="230"/>
      <c r="E118" s="234"/>
      <c r="F118" s="123"/>
      <c r="G118" s="92"/>
      <c r="H118" s="88"/>
      <c r="I118" s="98"/>
      <c r="J118" s="90"/>
      <c r="K118" s="221"/>
      <c r="L118" s="221"/>
      <c r="M118" s="90"/>
      <c r="N118" s="90"/>
      <c r="O118" s="17"/>
      <c r="R118" s="45"/>
      <c r="S118" s="47"/>
    </row>
    <row r="119" spans="4:19" ht="39.75" hidden="1" customHeight="1" x14ac:dyDescent="0.35">
      <c r="D119" s="230"/>
      <c r="E119" s="234"/>
      <c r="F119" s="117"/>
      <c r="G119" s="118"/>
      <c r="H119" s="119"/>
      <c r="I119" s="114"/>
      <c r="J119" s="114"/>
      <c r="K119" s="113"/>
      <c r="L119" s="113"/>
      <c r="M119" s="114"/>
      <c r="N119" s="114"/>
      <c r="O119" s="17"/>
      <c r="R119" s="45"/>
      <c r="S119" s="47"/>
    </row>
    <row r="120" spans="4:19" ht="38.1" customHeight="1" x14ac:dyDescent="0.25">
      <c r="D120" s="231"/>
      <c r="E120" s="231"/>
      <c r="F120" s="107"/>
      <c r="G120" s="108"/>
      <c r="H120" s="109"/>
      <c r="I120" s="110">
        <f>SUM(I93:I117)</f>
        <v>40748</v>
      </c>
      <c r="J120" s="110">
        <f>SUM(J93:J117)</f>
        <v>40748</v>
      </c>
      <c r="K120" s="110">
        <f>SUM(K92:K117)</f>
        <v>0</v>
      </c>
      <c r="L120" s="110">
        <f>SUM(L92:L117)</f>
        <v>2353.87</v>
      </c>
      <c r="M120" s="110">
        <f>SUM(M92:M117)</f>
        <v>0</v>
      </c>
      <c r="N120" s="110">
        <f>SUM(N92:N117)</f>
        <v>38394.130000000005</v>
      </c>
      <c r="O120" s="69"/>
      <c r="R120" s="45"/>
      <c r="S120" s="47"/>
    </row>
    <row r="121" spans="4:19" ht="38.1" customHeight="1" x14ac:dyDescent="0.25">
      <c r="D121" s="231"/>
      <c r="E121" s="231"/>
      <c r="F121" s="107"/>
      <c r="G121" s="108"/>
      <c r="H121" s="109"/>
      <c r="I121" s="110"/>
      <c r="J121" s="110"/>
      <c r="K121" s="236"/>
      <c r="L121" s="236"/>
      <c r="M121" s="110"/>
      <c r="N121" s="110"/>
      <c r="O121" s="69"/>
      <c r="R121" s="45"/>
      <c r="S121" s="47"/>
    </row>
    <row r="122" spans="4:19" ht="38.1" customHeight="1" x14ac:dyDescent="0.25">
      <c r="D122" s="231"/>
      <c r="E122" s="231"/>
      <c r="F122" s="107"/>
      <c r="G122" s="108"/>
      <c r="H122" s="109"/>
      <c r="I122" s="110"/>
      <c r="J122" s="110"/>
      <c r="K122" s="236"/>
      <c r="L122" s="236"/>
      <c r="M122" s="110"/>
      <c r="N122" s="110"/>
      <c r="O122" s="69"/>
      <c r="R122" s="45"/>
      <c r="S122" s="47"/>
    </row>
    <row r="123" spans="4:19" ht="38.1" customHeight="1" x14ac:dyDescent="0.25">
      <c r="D123" s="231"/>
      <c r="E123" s="231"/>
      <c r="F123" s="107"/>
      <c r="G123" s="108"/>
      <c r="H123" s="109"/>
      <c r="I123" s="110"/>
      <c r="J123" s="110"/>
      <c r="K123" s="236"/>
      <c r="L123" s="236"/>
      <c r="M123" s="110"/>
      <c r="N123" s="110"/>
      <c r="O123" s="69"/>
      <c r="R123" s="45"/>
      <c r="S123" s="47"/>
    </row>
    <row r="124" spans="4:19" ht="38.1" customHeight="1" x14ac:dyDescent="0.25">
      <c r="D124" s="231"/>
      <c r="E124" s="231"/>
      <c r="F124" s="107"/>
      <c r="G124" s="108"/>
      <c r="H124" s="109"/>
      <c r="I124" s="110"/>
      <c r="J124" s="110"/>
      <c r="K124" s="236"/>
      <c r="L124" s="236"/>
      <c r="M124" s="110"/>
      <c r="N124" s="110"/>
      <c r="O124" s="69"/>
      <c r="R124" s="45"/>
      <c r="S124" s="47"/>
    </row>
    <row r="125" spans="4:19" ht="20.100000000000001" customHeight="1" x14ac:dyDescent="0.4">
      <c r="D125" s="568" t="s">
        <v>12</v>
      </c>
      <c r="E125" s="568"/>
      <c r="F125" s="568"/>
      <c r="G125" s="568"/>
      <c r="H125" s="568"/>
      <c r="I125" s="568"/>
      <c r="J125" s="568"/>
      <c r="K125" s="568"/>
      <c r="L125" s="568"/>
      <c r="M125" s="568"/>
      <c r="N125" s="568"/>
      <c r="O125" s="568"/>
      <c r="R125" s="45"/>
      <c r="S125" s="47"/>
    </row>
    <row r="126" spans="4:19" ht="20.100000000000001" customHeight="1" x14ac:dyDescent="0.4">
      <c r="D126" s="568" t="s">
        <v>139</v>
      </c>
      <c r="E126" s="568"/>
      <c r="F126" s="568"/>
      <c r="G126" s="568"/>
      <c r="H126" s="568"/>
      <c r="I126" s="568"/>
      <c r="J126" s="568"/>
      <c r="K126" s="568"/>
      <c r="L126" s="568"/>
      <c r="M126" s="568"/>
      <c r="N126" s="568"/>
      <c r="O126" s="568"/>
      <c r="R126" s="45"/>
      <c r="S126" s="47"/>
    </row>
    <row r="127" spans="4:19" ht="20.100000000000001" customHeight="1" x14ac:dyDescent="0.4">
      <c r="D127" s="556" t="str">
        <f>D5</f>
        <v>NOMINA 2DA QUINCENA DE DICIEMBRE DE 2021</v>
      </c>
      <c r="E127" s="556"/>
      <c r="F127" s="556"/>
      <c r="G127" s="556"/>
      <c r="H127" s="556"/>
      <c r="I127" s="556"/>
      <c r="J127" s="556"/>
      <c r="K127" s="556"/>
      <c r="L127" s="556"/>
      <c r="M127" s="556"/>
      <c r="N127" s="556"/>
      <c r="O127" s="556"/>
      <c r="R127" s="45"/>
      <c r="S127" s="47"/>
    </row>
    <row r="128" spans="4:19" ht="20.100000000000001" customHeight="1" x14ac:dyDescent="0.4">
      <c r="D128" s="556" t="s">
        <v>126</v>
      </c>
      <c r="E128" s="556"/>
      <c r="F128" s="556"/>
      <c r="G128" s="556"/>
      <c r="H128" s="556"/>
      <c r="I128" s="556"/>
      <c r="J128" s="556"/>
      <c r="K128" s="556"/>
      <c r="L128" s="556"/>
      <c r="M128" s="556"/>
      <c r="N128" s="556"/>
      <c r="O128" s="556"/>
      <c r="R128" s="45"/>
      <c r="S128" s="47"/>
    </row>
    <row r="129" spans="2:19" ht="33" customHeight="1" x14ac:dyDescent="0.4">
      <c r="D129" s="564" t="s">
        <v>237</v>
      </c>
      <c r="E129" s="445" t="s">
        <v>208</v>
      </c>
      <c r="F129" s="446"/>
      <c r="G129" s="446"/>
      <c r="H129" s="447" t="s">
        <v>4</v>
      </c>
      <c r="I129" s="558" t="s">
        <v>0</v>
      </c>
      <c r="J129" s="559"/>
      <c r="K129" s="560"/>
      <c r="L129" s="448"/>
      <c r="M129" s="449"/>
      <c r="N129" s="447"/>
      <c r="O129" s="450"/>
      <c r="R129" s="45"/>
      <c r="S129" s="47"/>
    </row>
    <row r="130" spans="2:19" ht="33" customHeight="1" x14ac:dyDescent="0.4">
      <c r="D130" s="565"/>
      <c r="E130" s="451" t="s">
        <v>209</v>
      </c>
      <c r="F130" s="447"/>
      <c r="G130" s="460"/>
      <c r="H130" s="452" t="s">
        <v>5</v>
      </c>
      <c r="I130" s="453" t="s">
        <v>1</v>
      </c>
      <c r="J130" s="453" t="s">
        <v>125</v>
      </c>
      <c r="K130" s="454" t="s">
        <v>129</v>
      </c>
      <c r="L130" s="454"/>
      <c r="M130" s="447" t="s">
        <v>143</v>
      </c>
      <c r="N130" s="447" t="s">
        <v>128</v>
      </c>
      <c r="O130" s="455"/>
      <c r="R130" s="45"/>
      <c r="S130" s="47"/>
    </row>
    <row r="131" spans="2:19" ht="33" customHeight="1" x14ac:dyDescent="0.4">
      <c r="D131" s="565"/>
      <c r="E131" s="451"/>
      <c r="F131" s="453"/>
      <c r="G131" s="453" t="s">
        <v>10</v>
      </c>
      <c r="H131" s="447"/>
      <c r="I131" s="447" t="s">
        <v>7</v>
      </c>
      <c r="J131" s="447" t="s">
        <v>128</v>
      </c>
      <c r="K131" s="452" t="s">
        <v>130</v>
      </c>
      <c r="L131" s="452" t="s">
        <v>131</v>
      </c>
      <c r="M131" s="447" t="s">
        <v>145</v>
      </c>
      <c r="N131" s="447" t="s">
        <v>134</v>
      </c>
      <c r="O131" s="453" t="s">
        <v>137</v>
      </c>
      <c r="R131" s="45"/>
      <c r="S131" s="47"/>
    </row>
    <row r="132" spans="2:19" ht="33" customHeight="1" x14ac:dyDescent="0.4">
      <c r="D132" s="566"/>
      <c r="E132" s="456"/>
      <c r="F132" s="453" t="s">
        <v>69</v>
      </c>
      <c r="G132" s="453" t="s">
        <v>9</v>
      </c>
      <c r="H132" s="453"/>
      <c r="I132" s="453"/>
      <c r="J132" s="453"/>
      <c r="K132" s="454"/>
      <c r="L132" s="457"/>
      <c r="M132" s="458"/>
      <c r="N132" s="453"/>
      <c r="O132" s="453"/>
      <c r="R132" s="45"/>
      <c r="S132" s="47"/>
    </row>
    <row r="133" spans="2:19" ht="60" customHeight="1" x14ac:dyDescent="0.4">
      <c r="B133" s="66"/>
      <c r="D133" s="386"/>
      <c r="E133" s="461"/>
      <c r="F133" s="426" t="s">
        <v>55</v>
      </c>
      <c r="G133" s="427"/>
      <c r="H133" s="428"/>
      <c r="I133" s="398"/>
      <c r="J133" s="429"/>
      <c r="K133" s="430"/>
      <c r="L133" s="430"/>
      <c r="M133" s="429"/>
      <c r="N133" s="393"/>
      <c r="O133" s="393"/>
      <c r="R133" s="45"/>
      <c r="S133" s="47"/>
    </row>
    <row r="134" spans="2:19" ht="60" customHeight="1" x14ac:dyDescent="0.4">
      <c r="D134" s="462"/>
      <c r="E134" s="462" t="s">
        <v>214</v>
      </c>
      <c r="F134" s="431" t="s">
        <v>398</v>
      </c>
      <c r="G134" s="432" t="s">
        <v>74</v>
      </c>
      <c r="H134" s="433">
        <v>15</v>
      </c>
      <c r="I134" s="434">
        <v>2830</v>
      </c>
      <c r="J134" s="393">
        <v>2830</v>
      </c>
      <c r="K134" s="392">
        <f>IFERROR(IF(ROUND((((J134/H134*30.4)-VLOOKUP((J134/H134*30.4),TARIFA,1))*VLOOKUP((J134/H134*30.4),TARIFA,3)+VLOOKUP((J134/H134*30.4),TARIFA,2)-VLOOKUP((J134/H134*30.4),SUBSIDIO,2))/30.4*H134,2)&lt;0,ROUND(-(((J134/H134*30.4)-VLOOKUP((J134/H134*30.4),TARIFA,1))*VLOOKUP((J134/H134*30.4),TARIFA,3)+VLOOKUP((J134/H134*30.4),TARIFA,2)-VLOOKUP((J134/H134*30.4),SUBSIDIO,2))/30.4*H134,2),0),0)</f>
        <v>0</v>
      </c>
      <c r="L134" s="392">
        <f>IFERROR(IF(ROUND((((J134/H134*30.4)-VLOOKUP((J134/H134*30.4),TARIFA,1))*VLOOKUP((J134/H134*30.4),TARIFA,3)+VLOOKUP((J134/H134*30.4),TARIFA,2)-VLOOKUP((J134/H134*30.4),SUBSIDIO,2))/30.4*H134,2)&gt;0,ROUND((((J134/H134*30.4)-VLOOKUP((J134/H134*30.4),TARIFA,1))*VLOOKUP((J134/H134*30.4),TARIFA,3)+VLOOKUP((J134/H134*30.4),TARIFA,2)-VLOOKUP((J134/H134*30.4),SUBSIDIO,2))/30.4*H134,2),0),0)</f>
        <v>27.34</v>
      </c>
      <c r="M134" s="393">
        <v>0</v>
      </c>
      <c r="N134" s="393">
        <f>J134+K134-L134-M134</f>
        <v>2802.66</v>
      </c>
      <c r="O134" s="393"/>
      <c r="R134" s="45"/>
      <c r="S134" s="47"/>
    </row>
    <row r="135" spans="2:19" ht="60" customHeight="1" x14ac:dyDescent="0.4">
      <c r="D135" s="459"/>
      <c r="E135" s="459"/>
      <c r="F135" s="402" t="s">
        <v>42</v>
      </c>
      <c r="G135" s="388"/>
      <c r="H135" s="390"/>
      <c r="I135" s="398"/>
      <c r="J135" s="393"/>
      <c r="K135" s="392"/>
      <c r="L135" s="392"/>
      <c r="M135" s="393"/>
      <c r="N135" s="393"/>
      <c r="O135" s="393"/>
      <c r="R135" s="45"/>
      <c r="S135" s="47"/>
    </row>
    <row r="136" spans="2:19" ht="60" customHeight="1" x14ac:dyDescent="0.4">
      <c r="D136" s="459"/>
      <c r="E136" s="459" t="s">
        <v>214</v>
      </c>
      <c r="F136" s="388" t="s">
        <v>429</v>
      </c>
      <c r="G136" s="388" t="s">
        <v>412</v>
      </c>
      <c r="H136" s="390">
        <v>15</v>
      </c>
      <c r="I136" s="398">
        <v>1053</v>
      </c>
      <c r="J136" s="393">
        <f t="shared" ref="J136:J138" si="49">I136</f>
        <v>1053</v>
      </c>
      <c r="K136" s="392">
        <f t="shared" ref="K136:K138" si="50">IFERROR(IF(ROUND((((J136/H136*30.4)-VLOOKUP((J136/H136*30.4),TARIFA,1))*VLOOKUP((J136/H136*30.4),TARIFA,3)+VLOOKUP((J136/H136*30.4),TARIFA,2)-VLOOKUP((J136/H136*30.4),SUBSIDIO,2))/30.4*H136,2)&lt;0,ROUND(-(((J136/H136*30.4)-VLOOKUP((J136/H136*30.4),TARIFA,1))*VLOOKUP((J136/H136*30.4),TARIFA,3)+VLOOKUP((J136/H136*30.4),TARIFA,2)-VLOOKUP((J136/H136*30.4),SUBSIDIO,2))/30.4*H136,2),0),0)</f>
        <v>147.59</v>
      </c>
      <c r="L136" s="392">
        <f t="shared" ref="L136:L138" si="51">IFERROR(IF(ROUND((((J136/H136*30.4)-VLOOKUP((J136/H136*30.4),TARIFA,1))*VLOOKUP((J136/H136*30.4),TARIFA,3)+VLOOKUP((J136/H136*30.4),TARIFA,2)-VLOOKUP((J136/H136*30.4),SUBSIDIO,2))/30.4*H136,2)&gt;0,ROUND((((J136/H136*30.4)-VLOOKUP((J136/H136*30.4),TARIFA,1))*VLOOKUP((J136/H136*30.4),TARIFA,3)+VLOOKUP((J136/H136*30.4),TARIFA,2)-VLOOKUP((J136/H136*30.4),SUBSIDIO,2))/30.4*H136,2),0),0)</f>
        <v>0</v>
      </c>
      <c r="M136" s="393">
        <v>0</v>
      </c>
      <c r="N136" s="393">
        <f t="shared" ref="N136:N138" si="52">J136+K136-L136-M136</f>
        <v>1200.5899999999999</v>
      </c>
      <c r="O136" s="393"/>
      <c r="R136" s="45"/>
      <c r="S136" s="47"/>
    </row>
    <row r="137" spans="2:19" ht="60" customHeight="1" x14ac:dyDescent="0.4">
      <c r="D137" s="459"/>
      <c r="E137" s="459" t="s">
        <v>214</v>
      </c>
      <c r="F137" s="388" t="s">
        <v>432</v>
      </c>
      <c r="G137" s="388" t="s">
        <v>413</v>
      </c>
      <c r="H137" s="390">
        <v>15</v>
      </c>
      <c r="I137" s="398">
        <v>1053</v>
      </c>
      <c r="J137" s="393">
        <f t="shared" si="49"/>
        <v>1053</v>
      </c>
      <c r="K137" s="392">
        <f t="shared" si="50"/>
        <v>147.59</v>
      </c>
      <c r="L137" s="392">
        <f t="shared" si="51"/>
        <v>0</v>
      </c>
      <c r="M137" s="393">
        <v>0</v>
      </c>
      <c r="N137" s="393">
        <f t="shared" si="52"/>
        <v>1200.5899999999999</v>
      </c>
      <c r="O137" s="393"/>
      <c r="R137" s="45"/>
      <c r="S137" s="47"/>
    </row>
    <row r="138" spans="2:19" ht="60" customHeight="1" x14ac:dyDescent="0.4">
      <c r="D138" s="459" t="s">
        <v>436</v>
      </c>
      <c r="E138" s="459" t="s">
        <v>214</v>
      </c>
      <c r="F138" s="388" t="s">
        <v>441</v>
      </c>
      <c r="G138" s="388" t="s">
        <v>414</v>
      </c>
      <c r="H138" s="390">
        <v>15</v>
      </c>
      <c r="I138" s="398">
        <v>1053</v>
      </c>
      <c r="J138" s="393">
        <f t="shared" si="49"/>
        <v>1053</v>
      </c>
      <c r="K138" s="392">
        <f t="shared" si="50"/>
        <v>147.59</v>
      </c>
      <c r="L138" s="392">
        <f t="shared" si="51"/>
        <v>0</v>
      </c>
      <c r="M138" s="393">
        <v>0</v>
      </c>
      <c r="N138" s="393">
        <f t="shared" si="52"/>
        <v>1200.5899999999999</v>
      </c>
      <c r="O138" s="393"/>
      <c r="R138" s="45"/>
      <c r="S138" s="47"/>
    </row>
    <row r="139" spans="2:19" ht="60" customHeight="1" x14ac:dyDescent="0.4">
      <c r="D139" s="459" t="s">
        <v>257</v>
      </c>
      <c r="E139" s="459" t="s">
        <v>450</v>
      </c>
      <c r="F139" s="388" t="s">
        <v>89</v>
      </c>
      <c r="G139" s="388" t="s">
        <v>415</v>
      </c>
      <c r="H139" s="390">
        <v>15</v>
      </c>
      <c r="I139" s="398">
        <v>1053</v>
      </c>
      <c r="J139" s="393">
        <f t="shared" ref="J139:J143" si="53">I139</f>
        <v>1053</v>
      </c>
      <c r="K139" s="392">
        <f t="shared" ref="K139:K143" si="54">IFERROR(IF(ROUND((((J139/H139*30.4)-VLOOKUP((J139/H139*30.4),TARIFA,1))*VLOOKUP((J139/H139*30.4),TARIFA,3)+VLOOKUP((J139/H139*30.4),TARIFA,2)-VLOOKUP((J139/H139*30.4),SUBSIDIO,2))/30.4*H139,2)&lt;0,ROUND(-(((J139/H139*30.4)-VLOOKUP((J139/H139*30.4),TARIFA,1))*VLOOKUP((J139/H139*30.4),TARIFA,3)+VLOOKUP((J139/H139*30.4),TARIFA,2)-VLOOKUP((J139/H139*30.4),SUBSIDIO,2))/30.4*H139,2),0),0)</f>
        <v>147.59</v>
      </c>
      <c r="L139" s="392">
        <f t="shared" ref="L139:L143" si="55">IFERROR(IF(ROUND((((J139/H139*30.4)-VLOOKUP((J139/H139*30.4),TARIFA,1))*VLOOKUP((J139/H139*30.4),TARIFA,3)+VLOOKUP((J139/H139*30.4),TARIFA,2)-VLOOKUP((J139/H139*30.4),SUBSIDIO,2))/30.4*H139,2)&gt;0,ROUND((((J139/H139*30.4)-VLOOKUP((J139/H139*30.4),TARIFA,1))*VLOOKUP((J139/H139*30.4),TARIFA,3)+VLOOKUP((J139/H139*30.4),TARIFA,2)-VLOOKUP((J139/H139*30.4),SUBSIDIO,2))/30.4*H139,2),0),0)</f>
        <v>0</v>
      </c>
      <c r="M139" s="393">
        <v>0</v>
      </c>
      <c r="N139" s="393">
        <f t="shared" ref="N139:N154" si="56">J139+K139-L139-M139</f>
        <v>1200.5899999999999</v>
      </c>
      <c r="O139" s="393"/>
      <c r="R139" s="45"/>
      <c r="S139" s="47"/>
    </row>
    <row r="140" spans="2:19" ht="60" hidden="1" customHeight="1" x14ac:dyDescent="0.4">
      <c r="D140" s="459"/>
      <c r="E140" s="459" t="s">
        <v>214</v>
      </c>
      <c r="F140" s="388"/>
      <c r="G140" s="388"/>
      <c r="H140" s="390">
        <v>15</v>
      </c>
      <c r="I140" s="398">
        <v>0</v>
      </c>
      <c r="J140" s="393">
        <f t="shared" ref="J140:J141" si="57">I140</f>
        <v>0</v>
      </c>
      <c r="K140" s="392">
        <f t="shared" ref="K140:K141" si="58">IFERROR(IF(ROUND((((J140/H140*30.4)-VLOOKUP((J140/H140*30.4),TARIFA,1))*VLOOKUP((J140/H140*30.4),TARIFA,3)+VLOOKUP((J140/H140*30.4),TARIFA,2)-VLOOKUP((J140/H140*30.4),SUBSIDIO,2))/30.4*H140,2)&lt;0,ROUND(-(((J140/H140*30.4)-VLOOKUP((J140/H140*30.4),TARIFA,1))*VLOOKUP((J140/H140*30.4),TARIFA,3)+VLOOKUP((J140/H140*30.4),TARIFA,2)-VLOOKUP((J140/H140*30.4),SUBSIDIO,2))/30.4*H140,2),0),0)</f>
        <v>0</v>
      </c>
      <c r="L140" s="392">
        <f t="shared" ref="L140:L141" si="59">IFERROR(IF(ROUND((((J140/H140*30.4)-VLOOKUP((J140/H140*30.4),TARIFA,1))*VLOOKUP((J140/H140*30.4),TARIFA,3)+VLOOKUP((J140/H140*30.4),TARIFA,2)-VLOOKUP((J140/H140*30.4),SUBSIDIO,2))/30.4*H140,2)&gt;0,ROUND((((J140/H140*30.4)-VLOOKUP((J140/H140*30.4),TARIFA,1))*VLOOKUP((J140/H140*30.4),TARIFA,3)+VLOOKUP((J140/H140*30.4),TARIFA,2)-VLOOKUP((J140/H140*30.4),SUBSIDIO,2))/30.4*H140,2),0),0)</f>
        <v>0</v>
      </c>
      <c r="M140" s="393">
        <v>0</v>
      </c>
      <c r="N140" s="393">
        <f t="shared" ref="N140:N141" si="60">J140+K140-L140-M140</f>
        <v>0</v>
      </c>
      <c r="O140" s="393"/>
      <c r="R140" s="45"/>
      <c r="S140" s="47"/>
    </row>
    <row r="141" spans="2:19" ht="60" customHeight="1" x14ac:dyDescent="0.4">
      <c r="D141" s="459"/>
      <c r="E141" s="459" t="s">
        <v>214</v>
      </c>
      <c r="F141" s="388" t="s">
        <v>433</v>
      </c>
      <c r="G141" s="388" t="s">
        <v>416</v>
      </c>
      <c r="H141" s="390">
        <v>15</v>
      </c>
      <c r="I141" s="398">
        <v>1053</v>
      </c>
      <c r="J141" s="393">
        <f t="shared" si="57"/>
        <v>1053</v>
      </c>
      <c r="K141" s="392">
        <f t="shared" si="58"/>
        <v>147.59</v>
      </c>
      <c r="L141" s="392">
        <f t="shared" si="59"/>
        <v>0</v>
      </c>
      <c r="M141" s="393">
        <v>0</v>
      </c>
      <c r="N141" s="393">
        <f t="shared" si="60"/>
        <v>1200.5899999999999</v>
      </c>
      <c r="O141" s="393"/>
      <c r="R141" s="45"/>
      <c r="S141" s="47"/>
    </row>
    <row r="142" spans="2:19" ht="60" customHeight="1" x14ac:dyDescent="0.4">
      <c r="D142" s="459"/>
      <c r="E142" s="459" t="s">
        <v>214</v>
      </c>
      <c r="F142" s="388" t="s">
        <v>291</v>
      </c>
      <c r="G142" s="388" t="s">
        <v>292</v>
      </c>
      <c r="H142" s="390">
        <v>15</v>
      </c>
      <c r="I142" s="398">
        <v>3052</v>
      </c>
      <c r="J142" s="393">
        <v>3052</v>
      </c>
      <c r="K142" s="392">
        <f t="shared" si="54"/>
        <v>0</v>
      </c>
      <c r="L142" s="392">
        <f t="shared" si="55"/>
        <v>51.49</v>
      </c>
      <c r="M142" s="393"/>
      <c r="N142" s="398">
        <f t="shared" si="56"/>
        <v>3000.51</v>
      </c>
      <c r="O142" s="393"/>
      <c r="R142" s="45"/>
      <c r="S142" s="47"/>
    </row>
    <row r="143" spans="2:19" ht="60" customHeight="1" x14ac:dyDescent="0.4">
      <c r="D143" s="459"/>
      <c r="E143" s="459" t="s">
        <v>214</v>
      </c>
      <c r="F143" s="388" t="s">
        <v>417</v>
      </c>
      <c r="G143" s="389" t="s">
        <v>418</v>
      </c>
      <c r="H143" s="390">
        <v>15</v>
      </c>
      <c r="I143" s="398">
        <v>2400</v>
      </c>
      <c r="J143" s="393">
        <f t="shared" si="53"/>
        <v>2400</v>
      </c>
      <c r="K143" s="392">
        <f t="shared" si="54"/>
        <v>20.94</v>
      </c>
      <c r="L143" s="392">
        <f t="shared" si="55"/>
        <v>0</v>
      </c>
      <c r="M143" s="393">
        <v>0</v>
      </c>
      <c r="N143" s="393">
        <f t="shared" si="56"/>
        <v>2420.94</v>
      </c>
      <c r="O143" s="393"/>
      <c r="R143" s="45"/>
      <c r="S143" s="47"/>
    </row>
    <row r="144" spans="2:19" ht="60" customHeight="1" x14ac:dyDescent="0.4">
      <c r="D144" s="459"/>
      <c r="E144" s="459" t="s">
        <v>214</v>
      </c>
      <c r="F144" s="388" t="s">
        <v>458</v>
      </c>
      <c r="G144" s="389" t="s">
        <v>112</v>
      </c>
      <c r="H144" s="390">
        <v>15</v>
      </c>
      <c r="I144" s="398">
        <v>1695</v>
      </c>
      <c r="J144" s="393">
        <f t="shared" ref="J144:J147" si="61">I144</f>
        <v>1695</v>
      </c>
      <c r="K144" s="392">
        <f t="shared" ref="K144:K148" si="62"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106.4</v>
      </c>
      <c r="L144" s="392">
        <f t="shared" ref="L144:L148" si="63"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393">
        <v>0</v>
      </c>
      <c r="N144" s="393">
        <f t="shared" ref="N144:N148" si="64">J144+K144-L144-M144</f>
        <v>1801.4</v>
      </c>
      <c r="O144" s="393"/>
      <c r="R144" s="45"/>
      <c r="S144" s="47"/>
    </row>
    <row r="145" spans="4:19" ht="60" customHeight="1" x14ac:dyDescent="0.4">
      <c r="D145" s="459"/>
      <c r="E145" s="459" t="s">
        <v>214</v>
      </c>
      <c r="F145" s="388" t="s">
        <v>437</v>
      </c>
      <c r="G145" s="388" t="s">
        <v>419</v>
      </c>
      <c r="H145" s="390">
        <v>15</v>
      </c>
      <c r="I145" s="398">
        <v>1053</v>
      </c>
      <c r="J145" s="393">
        <f t="shared" si="61"/>
        <v>1053</v>
      </c>
      <c r="K145" s="392">
        <f t="shared" si="62"/>
        <v>147.59</v>
      </c>
      <c r="L145" s="392">
        <f t="shared" si="63"/>
        <v>0</v>
      </c>
      <c r="M145" s="393">
        <v>0</v>
      </c>
      <c r="N145" s="393">
        <f t="shared" si="64"/>
        <v>1200.5899999999999</v>
      </c>
      <c r="O145" s="393"/>
      <c r="R145" s="45"/>
      <c r="S145" s="47"/>
    </row>
    <row r="146" spans="4:19" ht="60" customHeight="1" x14ac:dyDescent="0.4">
      <c r="D146" s="459"/>
      <c r="E146" s="459" t="s">
        <v>214</v>
      </c>
      <c r="F146" s="388" t="s">
        <v>434</v>
      </c>
      <c r="G146" s="388" t="s">
        <v>33</v>
      </c>
      <c r="H146" s="390">
        <v>15</v>
      </c>
      <c r="I146" s="398">
        <v>1630</v>
      </c>
      <c r="J146" s="393">
        <f t="shared" si="61"/>
        <v>1630</v>
      </c>
      <c r="K146" s="392">
        <f t="shared" si="62"/>
        <v>110.56</v>
      </c>
      <c r="L146" s="392">
        <f t="shared" si="63"/>
        <v>0</v>
      </c>
      <c r="M146" s="393"/>
      <c r="N146" s="393">
        <f t="shared" si="64"/>
        <v>1740.56</v>
      </c>
      <c r="O146" s="393"/>
      <c r="R146" s="45"/>
      <c r="S146" s="47"/>
    </row>
    <row r="147" spans="4:19" ht="60" customHeight="1" x14ac:dyDescent="0.4">
      <c r="D147" s="459"/>
      <c r="E147" s="459" t="s">
        <v>214</v>
      </c>
      <c r="F147" s="388" t="s">
        <v>438</v>
      </c>
      <c r="G147" s="388" t="s">
        <v>33</v>
      </c>
      <c r="H147" s="390">
        <v>15</v>
      </c>
      <c r="I147" s="398">
        <v>1630</v>
      </c>
      <c r="J147" s="393">
        <f t="shared" si="61"/>
        <v>1630</v>
      </c>
      <c r="K147" s="392">
        <f t="shared" si="62"/>
        <v>110.56</v>
      </c>
      <c r="L147" s="392">
        <f t="shared" si="63"/>
        <v>0</v>
      </c>
      <c r="M147" s="393"/>
      <c r="N147" s="393">
        <f t="shared" si="64"/>
        <v>1740.56</v>
      </c>
      <c r="O147" s="393"/>
      <c r="R147" s="45"/>
      <c r="S147" s="47"/>
    </row>
    <row r="148" spans="4:19" ht="60" customHeight="1" x14ac:dyDescent="0.4">
      <c r="D148" s="459"/>
      <c r="E148" s="459" t="s">
        <v>214</v>
      </c>
      <c r="F148" s="388" t="s">
        <v>430</v>
      </c>
      <c r="G148" s="388" t="s">
        <v>431</v>
      </c>
      <c r="H148" s="390">
        <v>15</v>
      </c>
      <c r="I148" s="398">
        <v>3052</v>
      </c>
      <c r="J148" s="393">
        <v>3052</v>
      </c>
      <c r="K148" s="392">
        <f t="shared" si="62"/>
        <v>0</v>
      </c>
      <c r="L148" s="392">
        <f t="shared" si="63"/>
        <v>51.49</v>
      </c>
      <c r="M148" s="393"/>
      <c r="N148" s="393">
        <f t="shared" si="64"/>
        <v>3000.51</v>
      </c>
      <c r="O148" s="393"/>
      <c r="R148" s="45"/>
      <c r="S148" s="47"/>
    </row>
    <row r="149" spans="4:19" ht="60" customHeight="1" x14ac:dyDescent="0.4">
      <c r="D149" s="463"/>
      <c r="E149" s="463"/>
      <c r="F149" s="402" t="s">
        <v>275</v>
      </c>
      <c r="G149" s="388"/>
      <c r="H149" s="390"/>
      <c r="I149" s="398"/>
      <c r="J149" s="393"/>
      <c r="K149" s="392"/>
      <c r="L149" s="392"/>
      <c r="M149" s="393"/>
      <c r="N149" s="393"/>
      <c r="O149" s="393"/>
      <c r="R149" s="45"/>
      <c r="S149" s="47"/>
    </row>
    <row r="150" spans="4:19" ht="60" customHeight="1" x14ac:dyDescent="0.4">
      <c r="D150" s="463"/>
      <c r="E150" s="463" t="s">
        <v>450</v>
      </c>
      <c r="F150" s="388" t="s">
        <v>408</v>
      </c>
      <c r="G150" s="388" t="s">
        <v>354</v>
      </c>
      <c r="H150" s="390">
        <v>15</v>
      </c>
      <c r="I150" s="391">
        <v>3888</v>
      </c>
      <c r="J150" s="391">
        <v>3888</v>
      </c>
      <c r="K150" s="392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393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287.83</v>
      </c>
      <c r="M150" s="393">
        <v>0</v>
      </c>
      <c r="N150" s="393">
        <f t="shared" ref="N150" si="65">J150+K150-L150</f>
        <v>3600.17</v>
      </c>
      <c r="O150" s="393"/>
      <c r="R150" s="45"/>
      <c r="S150" s="47"/>
    </row>
    <row r="151" spans="4:19" ht="60" customHeight="1" x14ac:dyDescent="0.4">
      <c r="D151" s="463" t="s">
        <v>284</v>
      </c>
      <c r="E151" s="463" t="s">
        <v>450</v>
      </c>
      <c r="F151" s="388" t="s">
        <v>274</v>
      </c>
      <c r="G151" s="389" t="s">
        <v>294</v>
      </c>
      <c r="H151" s="390">
        <v>15</v>
      </c>
      <c r="I151" s="398">
        <v>3214</v>
      </c>
      <c r="J151" s="393">
        <v>3214</v>
      </c>
      <c r="K151" s="392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392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89.4</v>
      </c>
      <c r="M151" s="393"/>
      <c r="N151" s="393">
        <f t="shared" si="56"/>
        <v>3124.6</v>
      </c>
      <c r="O151" s="393"/>
      <c r="R151" s="45"/>
      <c r="S151" s="47"/>
    </row>
    <row r="152" spans="4:19" ht="60" customHeight="1" x14ac:dyDescent="0.4">
      <c r="D152" s="464"/>
      <c r="E152" s="464"/>
      <c r="F152" s="402" t="s">
        <v>332</v>
      </c>
      <c r="G152" s="388"/>
      <c r="H152" s="390"/>
      <c r="I152" s="393"/>
      <c r="J152" s="393"/>
      <c r="K152" s="392"/>
      <c r="L152" s="392"/>
      <c r="M152" s="393"/>
      <c r="N152" s="393"/>
      <c r="O152" s="393"/>
      <c r="R152" s="45"/>
      <c r="S152" s="47"/>
    </row>
    <row r="153" spans="4:19" ht="60" hidden="1" customHeight="1" x14ac:dyDescent="0.4">
      <c r="D153" s="464"/>
      <c r="E153" s="464"/>
      <c r="F153" s="388"/>
      <c r="G153" s="435"/>
      <c r="H153" s="390"/>
      <c r="I153" s="393"/>
      <c r="J153" s="393"/>
      <c r="K153" s="392"/>
      <c r="L153" s="392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393"/>
      <c r="N153" s="393">
        <f t="shared" si="56"/>
        <v>0</v>
      </c>
      <c r="O153" s="393"/>
      <c r="R153" s="45"/>
      <c r="S153" s="47"/>
    </row>
    <row r="154" spans="4:19" ht="60" customHeight="1" x14ac:dyDescent="0.4">
      <c r="D154" s="465"/>
      <c r="E154" s="465" t="s">
        <v>450</v>
      </c>
      <c r="F154" s="436" t="s">
        <v>335</v>
      </c>
      <c r="G154" s="437" t="s">
        <v>294</v>
      </c>
      <c r="H154" s="433">
        <v>15</v>
      </c>
      <c r="I154" s="398">
        <v>3299</v>
      </c>
      <c r="J154" s="393">
        <v>3299</v>
      </c>
      <c r="K154" s="392"/>
      <c r="L154" s="392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98.64</v>
      </c>
      <c r="M154" s="393"/>
      <c r="N154" s="393">
        <f t="shared" si="56"/>
        <v>3200.36</v>
      </c>
      <c r="O154" s="393"/>
      <c r="R154" s="45"/>
      <c r="S154" s="47"/>
    </row>
    <row r="155" spans="4:19" ht="60" hidden="1" customHeight="1" x14ac:dyDescent="0.4">
      <c r="D155" s="466"/>
      <c r="E155" s="466"/>
      <c r="F155" s="438"/>
      <c r="G155" s="439"/>
      <c r="H155" s="439"/>
      <c r="I155" s="440"/>
      <c r="J155" s="440"/>
      <c r="K155" s="441"/>
      <c r="L155" s="441"/>
      <c r="M155" s="439"/>
      <c r="N155" s="439"/>
      <c r="O155" s="393"/>
      <c r="R155" s="45"/>
      <c r="S155" s="47"/>
    </row>
    <row r="156" spans="4:19" ht="60" hidden="1" customHeight="1" x14ac:dyDescent="0.4">
      <c r="D156" s="467"/>
      <c r="E156" s="464"/>
      <c r="F156" s="381"/>
      <c r="G156" s="437"/>
      <c r="H156" s="382"/>
      <c r="I156" s="398"/>
      <c r="J156" s="393"/>
      <c r="K156" s="385"/>
      <c r="L156" s="385"/>
      <c r="M156" s="384">
        <v>0</v>
      </c>
      <c r="N156" s="384"/>
      <c r="O156" s="393"/>
      <c r="R156" s="45"/>
      <c r="S156" s="47"/>
    </row>
    <row r="157" spans="4:19" ht="60" customHeight="1" x14ac:dyDescent="0.4">
      <c r="D157" s="468" t="s">
        <v>252</v>
      </c>
      <c r="E157" s="468" t="s">
        <v>450</v>
      </c>
      <c r="F157" s="388" t="s">
        <v>90</v>
      </c>
      <c r="G157" s="388" t="s">
        <v>35</v>
      </c>
      <c r="H157" s="390">
        <v>15</v>
      </c>
      <c r="I157" s="398">
        <v>4115</v>
      </c>
      <c r="J157" s="393">
        <v>4115</v>
      </c>
      <c r="K157" s="392">
        <f t="shared" ref="K157" si="66">IFERROR(IF(ROUND((((J157/H157*30.4)-VLOOKUP((J157/H157*30.4),TARIFA,1))*VLOOKUP((J157/H157*30.4),TARIFA,3)+VLOOKUP((J157/H157*30.4),TARIFA,2)-VLOOKUP((J157/H157*30.4),SUBSIDIO,2))/30.4*H157,2)&lt;0,ROUND(-(((J157/H157*30.4)-VLOOKUP((J157/H157*30.4),TARIFA,1))*VLOOKUP((J157/H157*30.4),TARIFA,3)+VLOOKUP((J157/H157*30.4),TARIFA,2)-VLOOKUP((J157/H157*30.4),SUBSIDIO,2))/30.4*H157,2),0),0)</f>
        <v>0</v>
      </c>
      <c r="L157" s="392">
        <f t="shared" ref="L157" si="67">IFERROR(IF(ROUND((((J157/H157*30.4)-VLOOKUP((J157/H157*30.4),TARIFA,1))*VLOOKUP((J157/H157*30.4),TARIFA,3)+VLOOKUP((J157/H157*30.4),TARIFA,2)-VLOOKUP((J157/H157*30.4),SUBSIDIO,2))/30.4*H157,2)&gt;0,ROUND((((J157/H157*30.4)-VLOOKUP((J157/H157*30.4),TARIFA,1))*VLOOKUP((J157/H157*30.4),TARIFA,3)+VLOOKUP((J157/H157*30.4),TARIFA,2)-VLOOKUP((J157/H157*30.4),SUBSIDIO,2))/30.4*H157,2),0),0)</f>
        <v>312.52999999999997</v>
      </c>
      <c r="M157" s="393">
        <v>0</v>
      </c>
      <c r="N157" s="398">
        <f t="shared" ref="N157" si="68">J157+K157-L157-M157</f>
        <v>3802.4700000000003</v>
      </c>
      <c r="O157" s="393"/>
      <c r="R157" s="45"/>
      <c r="S157" s="47"/>
    </row>
    <row r="158" spans="4:19" ht="60" customHeight="1" x14ac:dyDescent="0.4">
      <c r="D158" s="464"/>
      <c r="E158" s="464"/>
      <c r="F158" s="402" t="s">
        <v>174</v>
      </c>
      <c r="G158" s="389"/>
      <c r="H158" s="390"/>
      <c r="I158" s="393"/>
      <c r="J158" s="393"/>
      <c r="K158" s="392"/>
      <c r="L158" s="392"/>
      <c r="M158" s="393"/>
      <c r="N158" s="393"/>
      <c r="O158" s="393"/>
      <c r="R158" s="45"/>
      <c r="S158" s="47"/>
    </row>
    <row r="159" spans="4:19" ht="60" customHeight="1" x14ac:dyDescent="0.4">
      <c r="D159" s="464"/>
      <c r="E159" s="464" t="s">
        <v>450</v>
      </c>
      <c r="F159" s="388" t="s">
        <v>341</v>
      </c>
      <c r="G159" s="388" t="s">
        <v>294</v>
      </c>
      <c r="H159" s="390">
        <v>15</v>
      </c>
      <c r="I159" s="398">
        <v>3299</v>
      </c>
      <c r="J159" s="393">
        <v>3299</v>
      </c>
      <c r="K159" s="392"/>
      <c r="L159" s="392">
        <f>IFERROR(IF(ROUND((((J159/H159*30.4)-VLOOKUP((J159/H159*30.4),TARIFA,1))*VLOOKUP((J159/H159*30.4),TARIFA,3)+VLOOKUP((J159/H159*30.4),TARIFA,2)-VLOOKUP((J159/H159*30.4),SUBSIDIO,2))/30.4*H159,2)&gt;0,ROUND((((J159/H159*30.4)-VLOOKUP((J159/H159*30.4),TARIFA,1))*VLOOKUP((J159/H159*30.4),TARIFA,3)+VLOOKUP((J159/H159*30.4),TARIFA,2)-VLOOKUP((J159/H159*30.4),SUBSIDIO,2))/30.4*H159,2),0),0)</f>
        <v>98.64</v>
      </c>
      <c r="M159" s="393"/>
      <c r="N159" s="393">
        <f t="shared" ref="N159" si="69">J159+K159-L159-M159</f>
        <v>3200.36</v>
      </c>
      <c r="O159" s="393"/>
      <c r="R159" s="45"/>
      <c r="S159" s="47"/>
    </row>
    <row r="160" spans="4:19" ht="60" customHeight="1" x14ac:dyDescent="0.4">
      <c r="D160" s="459"/>
      <c r="E160" s="459"/>
      <c r="F160" s="402" t="s">
        <v>355</v>
      </c>
      <c r="G160" s="388"/>
      <c r="H160" s="390"/>
      <c r="I160" s="398"/>
      <c r="J160" s="393"/>
      <c r="K160" s="392"/>
      <c r="L160" s="392"/>
      <c r="M160" s="393"/>
      <c r="N160" s="393"/>
      <c r="O160" s="393"/>
      <c r="R160" s="45"/>
      <c r="S160" s="47"/>
    </row>
    <row r="161" spans="4:19" ht="60" customHeight="1" x14ac:dyDescent="0.4">
      <c r="D161" s="459"/>
      <c r="E161" s="459" t="s">
        <v>214</v>
      </c>
      <c r="F161" s="388" t="s">
        <v>356</v>
      </c>
      <c r="G161" s="389" t="s">
        <v>357</v>
      </c>
      <c r="H161" s="390">
        <v>15</v>
      </c>
      <c r="I161" s="393">
        <v>4337</v>
      </c>
      <c r="J161" s="393">
        <v>4337</v>
      </c>
      <c r="K161" s="392"/>
      <c r="L161" s="392">
        <f>IFERROR(IF(ROUND((((J161/H161*30.4)-VLOOKUP((J161/H161*30.4),TARIFA,1))*VLOOKUP((J161/H161*30.4),TARIFA,3)+VLOOKUP((J161/H161*30.4),TARIFA,2)-VLOOKUP((J161/H161*30.4),SUBSIDIO,2))/30.4*H161,2)&gt;0,ROUND((((J161/H161*30.4)-VLOOKUP((J161/H161*30.4),TARIFA,1))*VLOOKUP((J161/H161*30.4),TARIFA,3)+VLOOKUP((J161/H161*30.4),TARIFA,2)-VLOOKUP((J161/H161*30.4),SUBSIDIO,2))/30.4*H161,2),0),0)</f>
        <v>336.68</v>
      </c>
      <c r="M161" s="393"/>
      <c r="N161" s="393">
        <f t="shared" ref="N161" si="70">J161+K161-L161-M161</f>
        <v>4000.32</v>
      </c>
      <c r="O161" s="393"/>
      <c r="R161" s="45"/>
      <c r="S161" s="47"/>
    </row>
    <row r="162" spans="4:19" ht="60" customHeight="1" x14ac:dyDescent="0.4">
      <c r="D162" s="459"/>
      <c r="E162" s="459"/>
      <c r="F162" s="402" t="s">
        <v>372</v>
      </c>
      <c r="G162" s="389"/>
      <c r="H162" s="390"/>
      <c r="I162" s="393"/>
      <c r="J162" s="393"/>
      <c r="K162" s="392"/>
      <c r="L162" s="392"/>
      <c r="M162" s="393"/>
      <c r="N162" s="393"/>
      <c r="O162" s="393"/>
      <c r="R162" s="45"/>
      <c r="S162" s="47"/>
    </row>
    <row r="163" spans="4:19" ht="60" customHeight="1" x14ac:dyDescent="0.4">
      <c r="D163" s="459"/>
      <c r="E163" s="459" t="s">
        <v>214</v>
      </c>
      <c r="F163" s="388" t="s">
        <v>373</v>
      </c>
      <c r="G163" s="389" t="s">
        <v>375</v>
      </c>
      <c r="H163" s="390">
        <v>15</v>
      </c>
      <c r="I163" s="391">
        <v>3888</v>
      </c>
      <c r="J163" s="391">
        <v>3888</v>
      </c>
      <c r="K163" s="392">
        <f>IFERROR(IF(ROUND((((J163/H163*30.4)-VLOOKUP((J163/H163*30.4),TARIFA,1))*VLOOKUP((J163/H163*30.4),TARIFA,3)+VLOOKUP((J163/H163*30.4),TARIFA,2)-VLOOKUP((J163/H163*30.4),SUBSIDIO,2))/30.4*H163,2)&lt;0,ROUND(-(((J163/H163*30.4)-VLOOKUP((J163/H163*30.4),TARIFA,1))*VLOOKUP((J163/H163*30.4),TARIFA,3)+VLOOKUP((J163/H163*30.4),TARIFA,2)-VLOOKUP((J163/H163*30.4),SUBSIDIO,2))/30.4*H163,2),0),0)</f>
        <v>0</v>
      </c>
      <c r="L163" s="393">
        <f>IFERROR(IF(ROUND((((J163/H163*30.4)-VLOOKUP((J163/H163*30.4),TARIFA,1))*VLOOKUP((J163/H163*30.4),TARIFA,3)+VLOOKUP((J163/H163*30.4),TARIFA,2)-VLOOKUP((J163/H163*30.4),SUBSIDIO,2))/30.4*H163,2)&gt;0,ROUND((((J163/H163*30.4)-VLOOKUP((J163/H163*30.4),TARIFA,1))*VLOOKUP((J163/H163*30.4),TARIFA,3)+VLOOKUP((J163/H163*30.4),TARIFA,2)-VLOOKUP((J163/H163*30.4),SUBSIDIO,2))/30.4*H163,2),0),0)</f>
        <v>287.83</v>
      </c>
      <c r="M163" s="393">
        <v>0</v>
      </c>
      <c r="N163" s="393">
        <f t="shared" ref="N163" si="71">J163+K163-L163</f>
        <v>3600.17</v>
      </c>
      <c r="O163" s="393"/>
      <c r="R163" s="45"/>
      <c r="S163" s="47"/>
    </row>
    <row r="164" spans="4:19" ht="60" customHeight="1" x14ac:dyDescent="0.4">
      <c r="D164" s="459"/>
      <c r="E164" s="459" t="s">
        <v>214</v>
      </c>
      <c r="F164" s="388" t="s">
        <v>374</v>
      </c>
      <c r="G164" s="389" t="s">
        <v>294</v>
      </c>
      <c r="H164" s="390">
        <v>15</v>
      </c>
      <c r="I164" s="398">
        <v>3299</v>
      </c>
      <c r="J164" s="393">
        <v>3299</v>
      </c>
      <c r="K164" s="392"/>
      <c r="L164" s="392">
        <f>IFERROR(IF(ROUND((((J164/H164*30.4)-VLOOKUP((J164/H164*30.4),TARIFA,1))*VLOOKUP((J164/H164*30.4),TARIFA,3)+VLOOKUP((J164/H164*30.4),TARIFA,2)-VLOOKUP((J164/H164*30.4),SUBSIDIO,2))/30.4*H164,2)&gt;0,ROUND((((J164/H164*30.4)-VLOOKUP((J164/H164*30.4),TARIFA,1))*VLOOKUP((J164/H164*30.4),TARIFA,3)+VLOOKUP((J164/H164*30.4),TARIFA,2)-VLOOKUP((J164/H164*30.4),SUBSIDIO,2))/30.4*H164,2),0),0)</f>
        <v>98.64</v>
      </c>
      <c r="M164" s="393"/>
      <c r="N164" s="393">
        <f t="shared" ref="N164" si="72">J164+K164-L164-M164</f>
        <v>3200.36</v>
      </c>
      <c r="O164" s="393"/>
      <c r="R164" s="45"/>
      <c r="S164" s="47"/>
    </row>
    <row r="165" spans="4:19" ht="60" customHeight="1" x14ac:dyDescent="0.4">
      <c r="D165" s="459"/>
      <c r="E165" s="459"/>
      <c r="F165" s="402" t="s">
        <v>376</v>
      </c>
      <c r="G165" s="389"/>
      <c r="H165" s="390"/>
      <c r="I165" s="398"/>
      <c r="J165" s="393"/>
      <c r="K165" s="392"/>
      <c r="L165" s="392"/>
      <c r="M165" s="393"/>
      <c r="N165" s="393"/>
      <c r="O165" s="393"/>
      <c r="R165" s="45"/>
      <c r="S165" s="47"/>
    </row>
    <row r="166" spans="4:19" ht="60" customHeight="1" x14ac:dyDescent="0.4">
      <c r="D166" s="459"/>
      <c r="E166" s="459" t="s">
        <v>450</v>
      </c>
      <c r="F166" s="388" t="s">
        <v>377</v>
      </c>
      <c r="G166" s="389" t="s">
        <v>294</v>
      </c>
      <c r="H166" s="390">
        <v>15</v>
      </c>
      <c r="I166" s="391">
        <v>3888</v>
      </c>
      <c r="J166" s="391">
        <v>3888</v>
      </c>
      <c r="K166" s="392">
        <f>IFERROR(IF(ROUND((((J166/H166*30.4)-VLOOKUP((J166/H166*30.4),TARIFA,1))*VLOOKUP((J166/H166*30.4),TARIFA,3)+VLOOKUP((J166/H166*30.4),TARIFA,2)-VLOOKUP((J166/H166*30.4),SUBSIDIO,2))/30.4*H166,2)&lt;0,ROUND(-(((J166/H166*30.4)-VLOOKUP((J166/H166*30.4),TARIFA,1))*VLOOKUP((J166/H166*30.4),TARIFA,3)+VLOOKUP((J166/H166*30.4),TARIFA,2)-VLOOKUP((J166/H166*30.4),SUBSIDIO,2))/30.4*H166,2),0),0)</f>
        <v>0</v>
      </c>
      <c r="L166" s="393">
        <f>IFERROR(IF(ROUND((((J166/H166*30.4)-VLOOKUP((J166/H166*30.4),TARIFA,1))*VLOOKUP((J166/H166*30.4),TARIFA,3)+VLOOKUP((J166/H166*30.4),TARIFA,2)-VLOOKUP((J166/H166*30.4),SUBSIDIO,2))/30.4*H166,2)&gt;0,ROUND((((J166/H166*30.4)-VLOOKUP((J166/H166*30.4),TARIFA,1))*VLOOKUP((J166/H166*30.4),TARIFA,3)+VLOOKUP((J166/H166*30.4),TARIFA,2)-VLOOKUP((J166/H166*30.4),SUBSIDIO,2))/30.4*H166,2),0),0)</f>
        <v>287.83</v>
      </c>
      <c r="M166" s="393">
        <v>0</v>
      </c>
      <c r="N166" s="393">
        <f t="shared" ref="N166" si="73">J166+K166-L166</f>
        <v>3600.17</v>
      </c>
      <c r="O166" s="393"/>
      <c r="R166" s="45"/>
      <c r="S166" s="47"/>
    </row>
    <row r="167" spans="4:19" ht="60" hidden="1" customHeight="1" x14ac:dyDescent="0.4">
      <c r="D167" s="459"/>
      <c r="E167" s="459"/>
      <c r="F167" s="402"/>
      <c r="G167" s="388"/>
      <c r="H167" s="390"/>
      <c r="I167" s="398"/>
      <c r="J167" s="393"/>
      <c r="K167" s="392"/>
      <c r="L167" s="392"/>
      <c r="M167" s="393"/>
      <c r="N167" s="393"/>
      <c r="O167" s="393"/>
      <c r="R167" s="45"/>
      <c r="S167" s="47"/>
    </row>
    <row r="168" spans="4:19" ht="60" hidden="1" customHeight="1" x14ac:dyDescent="0.4">
      <c r="D168" s="459"/>
      <c r="E168" s="459" t="s">
        <v>214</v>
      </c>
      <c r="F168" s="388"/>
      <c r="G168" s="388"/>
      <c r="H168" s="390">
        <v>15</v>
      </c>
      <c r="I168" s="391">
        <v>0</v>
      </c>
      <c r="J168" s="391">
        <v>0</v>
      </c>
      <c r="K168" s="392">
        <f>IFERROR(IF(ROUND((((J168/H168*30.4)-VLOOKUP((J168/H168*30.4),TARIFA,1))*VLOOKUP((J168/H168*30.4),TARIFA,3)+VLOOKUP((J168/H168*30.4),TARIFA,2)-VLOOKUP((J168/H168*30.4),SUBSIDIO,2))/30.4*H168,2)&lt;0,ROUND(-(((J168/H168*30.4)-VLOOKUP((J168/H168*30.4),TARIFA,1))*VLOOKUP((J168/H168*30.4),TARIFA,3)+VLOOKUP((J168/H168*30.4),TARIFA,2)-VLOOKUP((J168/H168*30.4),SUBSIDIO,2))/30.4*H168,2),0),0)</f>
        <v>0</v>
      </c>
      <c r="L168" s="393">
        <f>IFERROR(IF(ROUND((((J168/H168*30.4)-VLOOKUP((J168/H168*30.4),TARIFA,1))*VLOOKUP((J168/H168*30.4),TARIFA,3)+VLOOKUP((J168/H168*30.4),TARIFA,2)-VLOOKUP((J168/H168*30.4),SUBSIDIO,2))/30.4*H168,2)&gt;0,ROUND((((J168/H168*30.4)-VLOOKUP((J168/H168*30.4),TARIFA,1))*VLOOKUP((J168/H168*30.4),TARIFA,3)+VLOOKUP((J168/H168*30.4),TARIFA,2)-VLOOKUP((J168/H168*30.4),SUBSIDIO,2))/30.4*H168,2),0),0)</f>
        <v>0</v>
      </c>
      <c r="M168" s="393">
        <v>0</v>
      </c>
      <c r="N168" s="393">
        <f t="shared" ref="N168" si="74">J168+K168-L168</f>
        <v>0</v>
      </c>
      <c r="O168" s="393"/>
      <c r="R168" s="45"/>
      <c r="S168" s="47"/>
    </row>
    <row r="169" spans="4:19" ht="60" hidden="1" customHeight="1" x14ac:dyDescent="0.4">
      <c r="D169" s="459"/>
      <c r="E169" s="459" t="s">
        <v>214</v>
      </c>
      <c r="F169" s="388"/>
      <c r="G169" s="389"/>
      <c r="H169" s="390">
        <v>15</v>
      </c>
      <c r="I169" s="398">
        <v>0</v>
      </c>
      <c r="J169" s="393">
        <v>0</v>
      </c>
      <c r="K169" s="392"/>
      <c r="L169" s="392">
        <f>IFERROR(IF(ROUND((((J169/H169*30.4)-VLOOKUP((J169/H169*30.4),TARIFA,1))*VLOOKUP((J169/H169*30.4),TARIFA,3)+VLOOKUP((J169/H169*30.4),TARIFA,2)-VLOOKUP((J169/H169*30.4),SUBSIDIO,2))/30.4*H169,2)&gt;0,ROUND((((J169/H169*30.4)-VLOOKUP((J169/H169*30.4),TARIFA,1))*VLOOKUP((J169/H169*30.4),TARIFA,3)+VLOOKUP((J169/H169*30.4),TARIFA,2)-VLOOKUP((J169/H169*30.4),SUBSIDIO,2))/30.4*H169,2),0),0)</f>
        <v>0</v>
      </c>
      <c r="M169" s="393"/>
      <c r="N169" s="393">
        <f t="shared" ref="N169" si="75">J169+K169-L169-M169</f>
        <v>0</v>
      </c>
      <c r="O169" s="393"/>
      <c r="R169" s="45"/>
      <c r="S169" s="47"/>
    </row>
    <row r="170" spans="4:19" ht="39.9" customHeight="1" thickBot="1" x14ac:dyDescent="0.45">
      <c r="D170" s="469"/>
      <c r="E170" s="470"/>
      <c r="F170" s="471"/>
      <c r="G170" s="472"/>
      <c r="H170" s="473" t="s">
        <v>6</v>
      </c>
      <c r="I170" s="474">
        <f>I181+I120+I83+I41</f>
        <v>258142</v>
      </c>
      <c r="J170" s="474">
        <f>J181+J120+J83+J41</f>
        <v>258142</v>
      </c>
      <c r="K170" s="474">
        <f>K181+K120+K83+K41</f>
        <v>1249.06</v>
      </c>
      <c r="L170" s="474">
        <f>L181+L120+L83+L41</f>
        <v>14123.649999999998</v>
      </c>
      <c r="M170" s="474" t="e">
        <f>M169+#REF!+#REF!+M161+#REF!+M156+M154+M153+M151+M145+M144+M143+#REF!+M141+M140+M139+M138+M137+M136+M134+#REF!+#REF!+M111+M103+M97+M93+#REF!+M82+M81+M78+M77+M76+M75+M74+M73+M72+M71+M70+#REF!+#REF!+M69+M68+M67+M66+#REF!+#REF!+#REF!+M65+M64+#REF!+#REF!+#REF!+#REF!+#REF!+#REF!+#REF!+M38+#REF!+M33+M32+M31+M27+M26+#REF!+M16+#REF!+M14+M13</f>
        <v>#REF!</v>
      </c>
      <c r="N170" s="474">
        <f>N180+N120+N83+N41</f>
        <v>245267.40999999997</v>
      </c>
      <c r="O170" s="475"/>
      <c r="R170" s="47"/>
      <c r="S170" s="47"/>
    </row>
    <row r="171" spans="4:19" ht="25.2" thickTop="1" x14ac:dyDescent="0.4">
      <c r="D171" s="476"/>
      <c r="E171" s="476"/>
      <c r="F171" s="477"/>
      <c r="G171" s="477"/>
      <c r="H171" s="477"/>
      <c r="I171" s="478"/>
      <c r="J171" s="478"/>
      <c r="K171" s="479"/>
      <c r="L171" s="479"/>
      <c r="M171" s="477"/>
      <c r="N171" s="480"/>
      <c r="O171" s="477"/>
    </row>
    <row r="172" spans="4:19" ht="24.6" x14ac:dyDescent="0.4">
      <c r="D172" s="476"/>
      <c r="E172" s="476"/>
      <c r="F172" s="477"/>
      <c r="G172" s="477"/>
      <c r="H172" s="477"/>
      <c r="I172" s="481">
        <f>SUM(I134:I169)</f>
        <v>55834</v>
      </c>
      <c r="J172" s="482">
        <f>SUM(J134:J169)</f>
        <v>55834</v>
      </c>
      <c r="K172" s="483">
        <f>SUM(K134:K169)</f>
        <v>1234</v>
      </c>
      <c r="L172" s="483">
        <f>SUM(L133:L169)</f>
        <v>2028.34</v>
      </c>
      <c r="M172" s="484"/>
      <c r="N172" s="485">
        <f>SUM(N134:N169)</f>
        <v>55039.659999999996</v>
      </c>
      <c r="O172" s="477"/>
    </row>
    <row r="173" spans="4:19" ht="24.6" x14ac:dyDescent="0.4">
      <c r="D173" s="476"/>
      <c r="E173" s="476"/>
      <c r="F173" s="477"/>
      <c r="G173" s="477"/>
      <c r="H173" s="477"/>
      <c r="I173" s="481">
        <f>I172+I120+I83+I41</f>
        <v>258142</v>
      </c>
      <c r="J173" s="482">
        <f>J172+J120+J83+J41</f>
        <v>258142</v>
      </c>
      <c r="K173" s="483">
        <f>K172+K120+K83+K41</f>
        <v>1249.06</v>
      </c>
      <c r="L173" s="483">
        <f>L172+L120+L83+L41</f>
        <v>14123.649999999998</v>
      </c>
      <c r="M173" s="484"/>
      <c r="N173" s="485"/>
      <c r="O173" s="480"/>
    </row>
    <row r="174" spans="4:19" ht="24.6" x14ac:dyDescent="0.4">
      <c r="D174" s="476"/>
      <c r="E174" s="476"/>
      <c r="F174" s="477"/>
      <c r="G174" s="477"/>
      <c r="H174" s="477"/>
      <c r="I174" s="486"/>
      <c r="J174" s="486"/>
      <c r="K174" s="483">
        <f>K172+K120+K83+K41</f>
        <v>1249.06</v>
      </c>
      <c r="L174" s="483">
        <f>L172+L120+L83+L41</f>
        <v>14123.649999999998</v>
      </c>
      <c r="M174" s="484"/>
      <c r="N174" s="484"/>
      <c r="O174" s="477"/>
    </row>
    <row r="175" spans="4:19" ht="24.6" x14ac:dyDescent="0.4">
      <c r="D175" s="476"/>
      <c r="E175" s="476"/>
      <c r="F175" s="477" t="s">
        <v>98</v>
      </c>
      <c r="G175" s="477"/>
      <c r="H175" s="477"/>
      <c r="I175" s="482"/>
      <c r="J175" s="487"/>
      <c r="K175" s="483"/>
      <c r="L175" s="483"/>
      <c r="M175" s="477"/>
      <c r="N175" s="488"/>
      <c r="O175" s="488"/>
    </row>
    <row r="176" spans="4:19" ht="24.6" x14ac:dyDescent="0.4">
      <c r="D176" s="476"/>
      <c r="E176" s="476"/>
      <c r="F176" s="489" t="s">
        <v>422</v>
      </c>
      <c r="G176" s="489"/>
      <c r="H176" s="489"/>
      <c r="I176" s="490"/>
      <c r="J176" s="490"/>
      <c r="K176" s="491"/>
      <c r="L176" s="491"/>
      <c r="M176" s="489"/>
      <c r="N176" s="574" t="s">
        <v>421</v>
      </c>
      <c r="O176" s="574"/>
    </row>
    <row r="177" spans="4:15" ht="24.6" x14ac:dyDescent="0.4">
      <c r="D177" s="476"/>
      <c r="E177" s="476"/>
      <c r="F177" s="492" t="s">
        <v>11</v>
      </c>
      <c r="G177" s="492"/>
      <c r="H177" s="492"/>
      <c r="I177" s="490"/>
      <c r="J177" s="490"/>
      <c r="K177" s="491"/>
      <c r="L177" s="491"/>
      <c r="M177" s="492"/>
      <c r="N177" s="570" t="s">
        <v>138</v>
      </c>
      <c r="O177" s="570"/>
    </row>
    <row r="178" spans="4:15" s="13" customFormat="1" x14ac:dyDescent="0.25">
      <c r="D178" s="214"/>
      <c r="E178" s="214"/>
      <c r="F178" s="1"/>
      <c r="G178" s="1"/>
      <c r="H178" s="2"/>
      <c r="I178" s="6"/>
      <c r="J178" s="6"/>
      <c r="K178" s="237"/>
      <c r="L178" s="237"/>
      <c r="M178" s="1"/>
      <c r="N178" s="1"/>
      <c r="O178" s="1"/>
    </row>
    <row r="179" spans="4:15" s="13" customFormat="1" x14ac:dyDescent="0.25">
      <c r="D179" s="214"/>
      <c r="E179" s="214"/>
      <c r="F179" s="29"/>
      <c r="G179" s="27"/>
      <c r="H179" s="27"/>
      <c r="I179" s="27"/>
      <c r="J179" s="27"/>
      <c r="K179" s="225"/>
      <c r="L179" s="225"/>
      <c r="M179" s="27"/>
      <c r="N179" s="124"/>
      <c r="O179" s="27"/>
    </row>
    <row r="180" spans="4:15" x14ac:dyDescent="0.25">
      <c r="H180" s="2"/>
      <c r="I180" s="2"/>
      <c r="J180" s="2"/>
      <c r="K180" s="238"/>
      <c r="L180" s="238"/>
      <c r="N180" s="47">
        <f>N169+N168+N166+N164+N163+N161+N159+N157+N154+N151+N150+N148+N147+N146+N145+N144+N143+N142+N141+N140+N139+N138+N137+N136+N134</f>
        <v>55039.659999999989</v>
      </c>
    </row>
    <row r="181" spans="4:15" x14ac:dyDescent="0.25">
      <c r="I181" s="321">
        <f>I166+I164+I163+I161+I159+I157+I154+I151+I150+I148+I147+I146+I145+I144+I143+I142+I141+I140+I139+I138+I137+I136+I134</f>
        <v>55834</v>
      </c>
      <c r="J181" s="321">
        <f t="shared" ref="J181:M181" si="76">SUM(J134:J169)</f>
        <v>55834</v>
      </c>
      <c r="K181" s="321">
        <f t="shared" si="76"/>
        <v>1234</v>
      </c>
      <c r="L181" s="321">
        <f t="shared" si="76"/>
        <v>2028.34</v>
      </c>
      <c r="M181" s="321">
        <f t="shared" si="76"/>
        <v>0</v>
      </c>
      <c r="N181" s="321">
        <f>SUM(N134:N169)</f>
        <v>55039.659999999996</v>
      </c>
    </row>
    <row r="182" spans="4:15" x14ac:dyDescent="0.25">
      <c r="I182" s="2"/>
      <c r="J182" s="2"/>
      <c r="K182" s="238"/>
      <c r="L182" s="238"/>
      <c r="N182" s="9"/>
    </row>
    <row r="183" spans="4:15" x14ac:dyDescent="0.25">
      <c r="I183" s="2"/>
      <c r="J183" s="2"/>
      <c r="K183" s="238"/>
      <c r="L183" s="238"/>
      <c r="N183" s="47">
        <f>N166+N164+N163+N161+N159+N157+N154+N151+N150+N148+N147+N146+N145+N144+N143+N142+N141+N140+N139+N138+N136+N137+N134</f>
        <v>55039.659999999989</v>
      </c>
    </row>
    <row r="185" spans="4:15" x14ac:dyDescent="0.25">
      <c r="I185" s="321" t="e">
        <f>I169+I168+I166+I164+I163+I161+I159+I157+I154+I151+I150+I145+I144+I143+I142+I141+I140+I139+I138+I137+I136+I134+I117+I111+I110+I106+I104+I101+I99+I97+I95+I93+I80+I78+I77+I76+I75+I74+I73+I72+I71+I70+I69+I68+I67+I66+#REF!+I65+I64+I63+I61+I59+I58+I56+I55+I52+I51+I38+#REF!+I36+I33+I29+I27+I24+I23+I22+I20+I18+I16+I14+I13+I12</f>
        <v>#REF!</v>
      </c>
      <c r="N185" s="9"/>
    </row>
    <row r="186" spans="4:15" x14ac:dyDescent="0.25">
      <c r="N186" s="9"/>
    </row>
    <row r="188" spans="4:15" x14ac:dyDescent="0.25">
      <c r="N188" s="47">
        <f>N181+N121+N83+N41</f>
        <v>206873.28</v>
      </c>
    </row>
    <row r="189" spans="4:15" x14ac:dyDescent="0.25">
      <c r="N189" s="9"/>
    </row>
    <row r="191" spans="4:15" x14ac:dyDescent="0.25">
      <c r="N191" s="47"/>
    </row>
    <row r="192" spans="4:15" x14ac:dyDescent="0.25">
      <c r="N192" s="47">
        <f>N180+N120+N83+N41</f>
        <v>245267.40999999997</v>
      </c>
    </row>
  </sheetData>
  <sheetProtection selectLockedCells="1" selectUnlockedCells="1"/>
  <mergeCells count="26">
    <mergeCell ref="N177:O177"/>
    <mergeCell ref="I46:K46"/>
    <mergeCell ref="D125:O125"/>
    <mergeCell ref="I129:K129"/>
    <mergeCell ref="N176:O176"/>
    <mergeCell ref="D87:O87"/>
    <mergeCell ref="I88:K88"/>
    <mergeCell ref="D128:O128"/>
    <mergeCell ref="D84:O84"/>
    <mergeCell ref="D126:O126"/>
    <mergeCell ref="D127:O127"/>
    <mergeCell ref="D85:O85"/>
    <mergeCell ref="D129:D132"/>
    <mergeCell ref="D86:O86"/>
    <mergeCell ref="D46:D49"/>
    <mergeCell ref="D88:D91"/>
    <mergeCell ref="D42:O42"/>
    <mergeCell ref="D43:O43"/>
    <mergeCell ref="D44:O44"/>
    <mergeCell ref="D45:O45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2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6"/>
  <sheetViews>
    <sheetView tabSelected="1" topLeftCell="A31" zoomScale="82" zoomScaleNormal="82" workbookViewId="0">
      <selection activeCell="F36" sqref="F36"/>
    </sheetView>
  </sheetViews>
  <sheetFormatPr baseColWidth="10" defaultColWidth="11.44140625" defaultRowHeight="13.2" x14ac:dyDescent="0.25"/>
  <cols>
    <col min="1" max="1" width="4.6640625" style="13" customWidth="1"/>
    <col min="2" max="3" width="5.109375" style="13" customWidth="1"/>
    <col min="4" max="4" width="7.88671875" style="214" customWidth="1"/>
    <col min="5" max="5" width="4.44140625" style="214" customWidth="1"/>
    <col min="6" max="6" width="48.44140625" style="13" customWidth="1"/>
    <col min="7" max="7" width="47.44140625" style="13" customWidth="1"/>
    <col min="8" max="8" width="5.88671875" style="13" customWidth="1"/>
    <col min="9" max="10" width="14.5546875" style="13" bestFit="1" customWidth="1"/>
    <col min="11" max="11" width="14" style="13" bestFit="1" customWidth="1"/>
    <col min="12" max="12" width="13.88671875" style="13" bestFit="1" customWidth="1"/>
    <col min="13" max="13" width="15.44140625" style="13" customWidth="1"/>
    <col min="14" max="14" width="90.44140625" style="13" customWidth="1"/>
    <col min="15" max="15" width="5.6640625" style="13" customWidth="1"/>
    <col min="16" max="16" width="11.44140625" style="13"/>
    <col min="17" max="17" width="12.88671875" style="13" bestFit="1" customWidth="1"/>
    <col min="18" max="16384" width="11.44140625" style="13"/>
  </cols>
  <sheetData>
    <row r="1" spans="2:19" ht="5.25" customHeight="1" x14ac:dyDescent="0.25">
      <c r="B1" s="32"/>
      <c r="C1" s="32"/>
      <c r="D1" s="239"/>
      <c r="E1" s="239"/>
      <c r="F1" s="32"/>
      <c r="G1" s="32"/>
      <c r="H1" s="32"/>
      <c r="I1" s="32"/>
      <c r="J1" s="32"/>
      <c r="K1" s="32"/>
      <c r="L1" s="32"/>
      <c r="M1" s="32"/>
      <c r="N1" s="32"/>
    </row>
    <row r="2" spans="2:19" ht="15.75" customHeight="1" x14ac:dyDescent="0.25">
      <c r="B2" s="32"/>
      <c r="C2" s="32"/>
      <c r="D2" s="240"/>
      <c r="E2" s="241"/>
      <c r="F2" s="40"/>
      <c r="G2" s="40"/>
      <c r="H2" s="40"/>
      <c r="I2" s="40"/>
      <c r="J2" s="40"/>
      <c r="K2" s="40"/>
      <c r="L2" s="40"/>
      <c r="M2" s="40"/>
      <c r="N2" s="41"/>
    </row>
    <row r="3" spans="2:19" ht="20.100000000000001" customHeight="1" x14ac:dyDescent="0.6">
      <c r="B3" s="32"/>
      <c r="C3" s="32"/>
      <c r="D3" s="580" t="s">
        <v>12</v>
      </c>
      <c r="E3" s="581"/>
      <c r="F3" s="581"/>
      <c r="G3" s="581"/>
      <c r="H3" s="581"/>
      <c r="I3" s="581"/>
      <c r="J3" s="581"/>
      <c r="K3" s="581"/>
      <c r="L3" s="581"/>
      <c r="M3" s="581"/>
      <c r="N3" s="582"/>
    </row>
    <row r="4" spans="2:19" ht="20.100000000000001" customHeight="1" x14ac:dyDescent="0.6">
      <c r="B4" s="32"/>
      <c r="C4" s="32"/>
      <c r="D4" s="580" t="s">
        <v>139</v>
      </c>
      <c r="E4" s="581"/>
      <c r="F4" s="581"/>
      <c r="G4" s="581"/>
      <c r="H4" s="581"/>
      <c r="I4" s="581"/>
      <c r="J4" s="581"/>
      <c r="K4" s="581"/>
      <c r="L4" s="581"/>
      <c r="M4" s="581"/>
      <c r="N4" s="582"/>
    </row>
    <row r="5" spans="2:19" ht="20.100000000000001" customHeight="1" x14ac:dyDescent="0.6">
      <c r="B5" s="32"/>
      <c r="C5" s="32"/>
      <c r="D5" s="580" t="s">
        <v>477</v>
      </c>
      <c r="E5" s="581"/>
      <c r="F5" s="581"/>
      <c r="G5" s="581"/>
      <c r="H5" s="581"/>
      <c r="I5" s="581"/>
      <c r="J5" s="581"/>
      <c r="K5" s="581"/>
      <c r="L5" s="581"/>
      <c r="M5" s="581"/>
      <c r="N5" s="582"/>
    </row>
    <row r="6" spans="2:19" ht="21.75" customHeight="1" x14ac:dyDescent="0.6">
      <c r="B6" s="32"/>
      <c r="C6" s="32"/>
      <c r="D6" s="580" t="s">
        <v>124</v>
      </c>
      <c r="E6" s="581"/>
      <c r="F6" s="581"/>
      <c r="G6" s="581"/>
      <c r="H6" s="581"/>
      <c r="I6" s="581"/>
      <c r="J6" s="581"/>
      <c r="K6" s="581"/>
      <c r="L6" s="581"/>
      <c r="M6" s="581"/>
      <c r="N6" s="582"/>
    </row>
    <row r="7" spans="2:19" x14ac:dyDescent="0.25">
      <c r="D7" s="303"/>
      <c r="E7" s="322" t="s">
        <v>208</v>
      </c>
      <c r="F7" s="323"/>
      <c r="G7" s="323"/>
      <c r="H7" s="324"/>
      <c r="I7" s="325"/>
      <c r="J7" s="583"/>
      <c r="K7" s="584"/>
      <c r="L7" s="584"/>
      <c r="M7" s="584"/>
      <c r="N7" s="585"/>
    </row>
    <row r="8" spans="2:19" x14ac:dyDescent="0.25">
      <c r="D8" s="306" t="s">
        <v>3</v>
      </c>
      <c r="E8" s="306" t="s">
        <v>209</v>
      </c>
      <c r="F8" s="326"/>
      <c r="G8" s="326"/>
      <c r="H8" s="326"/>
      <c r="I8" s="327" t="s">
        <v>1</v>
      </c>
      <c r="J8" s="328" t="s">
        <v>125</v>
      </c>
      <c r="K8" s="328" t="s">
        <v>129</v>
      </c>
      <c r="L8" s="328"/>
      <c r="M8" s="326" t="s">
        <v>135</v>
      </c>
      <c r="N8" s="326"/>
    </row>
    <row r="9" spans="2:19" ht="24" x14ac:dyDescent="0.25">
      <c r="D9" s="308"/>
      <c r="E9" s="306"/>
      <c r="F9" s="327"/>
      <c r="G9" s="327" t="s">
        <v>10</v>
      </c>
      <c r="H9" s="329" t="s">
        <v>163</v>
      </c>
      <c r="I9" s="326" t="s">
        <v>127</v>
      </c>
      <c r="J9" s="327" t="s">
        <v>128</v>
      </c>
      <c r="K9" s="327" t="s">
        <v>130</v>
      </c>
      <c r="L9" s="327" t="s">
        <v>131</v>
      </c>
      <c r="M9" s="326" t="s">
        <v>134</v>
      </c>
      <c r="N9" s="326" t="s">
        <v>133</v>
      </c>
    </row>
    <row r="10" spans="2:19" ht="17.399999999999999" x14ac:dyDescent="0.3">
      <c r="D10" s="306"/>
      <c r="E10" s="306"/>
      <c r="F10" s="330" t="s">
        <v>56</v>
      </c>
      <c r="G10" s="328" t="s">
        <v>9</v>
      </c>
      <c r="H10" s="328"/>
      <c r="I10" s="328"/>
      <c r="J10" s="328"/>
      <c r="K10" s="328"/>
      <c r="L10" s="328"/>
      <c r="M10" s="328"/>
      <c r="N10" s="328"/>
    </row>
    <row r="11" spans="2:19" ht="35.1" customHeight="1" x14ac:dyDescent="0.3">
      <c r="D11" s="347"/>
      <c r="E11" s="348" t="s">
        <v>214</v>
      </c>
      <c r="F11" s="349" t="s">
        <v>56</v>
      </c>
      <c r="G11" s="350" t="s">
        <v>395</v>
      </c>
      <c r="H11" s="350">
        <v>15</v>
      </c>
      <c r="I11" s="351">
        <v>8868</v>
      </c>
      <c r="J11" s="351">
        <f>I11</f>
        <v>8868</v>
      </c>
      <c r="K11" s="352">
        <f t="shared" ref="K11:K18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352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1183.0999999999999</v>
      </c>
      <c r="M11" s="351">
        <f>J11+K11-L11</f>
        <v>7684.9</v>
      </c>
      <c r="N11" s="103"/>
      <c r="Q11" s="42">
        <v>13600</v>
      </c>
      <c r="R11" s="43">
        <f>Q11/2</f>
        <v>6800</v>
      </c>
      <c r="S11" s="13">
        <f>M11/15</f>
        <v>512.3266666666666</v>
      </c>
    </row>
    <row r="12" spans="2:19" ht="35.1" customHeight="1" x14ac:dyDescent="0.3">
      <c r="D12" s="348"/>
      <c r="E12" s="348" t="s">
        <v>450</v>
      </c>
      <c r="F12" s="349" t="s">
        <v>56</v>
      </c>
      <c r="G12" s="350" t="s">
        <v>396</v>
      </c>
      <c r="H12" s="350">
        <v>15</v>
      </c>
      <c r="I12" s="351">
        <v>7200</v>
      </c>
      <c r="J12" s="351">
        <f>I12</f>
        <v>7200</v>
      </c>
      <c r="K12" s="352">
        <f t="shared" si="0"/>
        <v>0</v>
      </c>
      <c r="L12" s="352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826.82</v>
      </c>
      <c r="M12" s="351">
        <f>J12+K12-L12</f>
        <v>6373.18</v>
      </c>
      <c r="N12" s="103"/>
      <c r="Q12" s="42"/>
      <c r="R12" s="43"/>
    </row>
    <row r="13" spans="2:19" ht="35.1" customHeight="1" x14ac:dyDescent="0.3">
      <c r="D13" s="348"/>
      <c r="E13" s="348" t="s">
        <v>450</v>
      </c>
      <c r="F13" s="349" t="s">
        <v>56</v>
      </c>
      <c r="G13" s="350" t="s">
        <v>397</v>
      </c>
      <c r="H13" s="350">
        <v>15</v>
      </c>
      <c r="I13" s="351">
        <v>7000</v>
      </c>
      <c r="J13" s="351">
        <f>I13</f>
        <v>7000</v>
      </c>
      <c r="K13" s="352">
        <f t="shared" si="0"/>
        <v>0</v>
      </c>
      <c r="L13" s="352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784.1</v>
      </c>
      <c r="M13" s="351">
        <f>J13+K13-L13</f>
        <v>6215.9</v>
      </c>
      <c r="N13" s="103"/>
      <c r="Q13" s="42"/>
      <c r="R13" s="43"/>
    </row>
    <row r="14" spans="2:19" ht="35.1" customHeight="1" x14ac:dyDescent="0.3">
      <c r="D14" s="348"/>
      <c r="E14" s="348" t="s">
        <v>214</v>
      </c>
      <c r="F14" s="349" t="s">
        <v>56</v>
      </c>
      <c r="G14" s="353" t="s">
        <v>152</v>
      </c>
      <c r="H14" s="350">
        <v>15</v>
      </c>
      <c r="I14" s="351">
        <v>5156</v>
      </c>
      <c r="J14" s="351">
        <v>5156</v>
      </c>
      <c r="K14" s="352">
        <f t="shared" si="0"/>
        <v>0</v>
      </c>
      <c r="L14" s="352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446.88</v>
      </c>
      <c r="M14" s="351">
        <f t="shared" ref="M14:M27" si="1">J14+K14-L14</f>
        <v>4709.12</v>
      </c>
      <c r="N14" s="103"/>
      <c r="Q14" s="42"/>
      <c r="R14" s="43"/>
    </row>
    <row r="15" spans="2:19" ht="35.1" customHeight="1" x14ac:dyDescent="0.3">
      <c r="D15" s="348" t="s">
        <v>428</v>
      </c>
      <c r="E15" s="348" t="s">
        <v>450</v>
      </c>
      <c r="F15" s="349" t="s">
        <v>56</v>
      </c>
      <c r="G15" s="350" t="s">
        <v>152</v>
      </c>
      <c r="H15" s="350">
        <v>15</v>
      </c>
      <c r="I15" s="351">
        <v>5156</v>
      </c>
      <c r="J15" s="351">
        <v>5156</v>
      </c>
      <c r="K15" s="352">
        <v>0</v>
      </c>
      <c r="L15" s="352">
        <f>IFERROR(IF(ROUND((((J15/H15*30.4)-VLOOKUP((J15/H15*30.4),TARIFA,1))*VLOOKUP((J15/H15*30.4),TARIFA,3)+VLOOKUP((J15/H15*30.4),TARIFA,2)-VLOOKUP((J15/H15*30.4),SUBSIDIO,2))/30.4*H15,2)&gt;0,ROUND((((J15/H15*30.4)-VLOOKUP((J15/H15*30.4),TARIFA,1))*VLOOKUP((J15/H15*30.4),TARIFA,3)+VLOOKUP((J15/H15*30.4),TARIFA,2)-VLOOKUP((J15/H15*30.4),SUBSIDIO,2))/30.4*H15,2),0),0)</f>
        <v>446.88</v>
      </c>
      <c r="M15" s="351">
        <f t="shared" si="1"/>
        <v>4709.12</v>
      </c>
      <c r="N15" s="103"/>
      <c r="Q15" s="42"/>
      <c r="R15" s="43"/>
    </row>
    <row r="16" spans="2:19" ht="35.1" customHeight="1" x14ac:dyDescent="0.3">
      <c r="D16" s="348"/>
      <c r="E16" s="348" t="s">
        <v>450</v>
      </c>
      <c r="F16" s="349" t="s">
        <v>56</v>
      </c>
      <c r="G16" s="355" t="s">
        <v>112</v>
      </c>
      <c r="H16" s="350">
        <v>15</v>
      </c>
      <c r="I16" s="351">
        <v>4385</v>
      </c>
      <c r="J16" s="351">
        <f>I16</f>
        <v>4385</v>
      </c>
      <c r="K16" s="352">
        <f t="shared" si="0"/>
        <v>0</v>
      </c>
      <c r="L16" s="352">
        <f t="shared" ref="L16:L18" si="2"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341.9</v>
      </c>
      <c r="M16" s="351">
        <f t="shared" si="1"/>
        <v>4043.1</v>
      </c>
      <c r="N16" s="103"/>
      <c r="Q16" s="42">
        <v>7508</v>
      </c>
      <c r="R16" s="43">
        <f t="shared" ref="R16:R18" si="3">Q16/2</f>
        <v>3754</v>
      </c>
    </row>
    <row r="17" spans="4:18" ht="35.1" customHeight="1" x14ac:dyDescent="0.3">
      <c r="D17" s="348" t="s">
        <v>258</v>
      </c>
      <c r="E17" s="348" t="s">
        <v>450</v>
      </c>
      <c r="F17" s="349" t="s">
        <v>56</v>
      </c>
      <c r="G17" s="354" t="s">
        <v>57</v>
      </c>
      <c r="H17" s="350">
        <v>15</v>
      </c>
      <c r="I17" s="351">
        <v>4760</v>
      </c>
      <c r="J17" s="351">
        <v>4760</v>
      </c>
      <c r="K17" s="352">
        <f t="shared" si="0"/>
        <v>0</v>
      </c>
      <c r="L17" s="352">
        <f t="shared" si="2"/>
        <v>383.52</v>
      </c>
      <c r="M17" s="351">
        <f t="shared" si="1"/>
        <v>4376.4799999999996</v>
      </c>
      <c r="N17" s="103"/>
      <c r="Q17" s="42"/>
      <c r="R17" s="43"/>
    </row>
    <row r="18" spans="4:18" ht="35.1" customHeight="1" x14ac:dyDescent="0.3">
      <c r="D18" s="348"/>
      <c r="E18" s="356" t="s">
        <v>214</v>
      </c>
      <c r="F18" s="349" t="s">
        <v>56</v>
      </c>
      <c r="G18" s="354" t="s">
        <v>57</v>
      </c>
      <c r="H18" s="350">
        <v>15</v>
      </c>
      <c r="I18" s="351">
        <v>4760</v>
      </c>
      <c r="J18" s="351">
        <v>4760</v>
      </c>
      <c r="K18" s="352">
        <f t="shared" si="0"/>
        <v>0</v>
      </c>
      <c r="L18" s="352">
        <f t="shared" si="2"/>
        <v>383.52</v>
      </c>
      <c r="M18" s="351">
        <f t="shared" si="1"/>
        <v>4376.4799999999996</v>
      </c>
      <c r="N18" s="103"/>
      <c r="Q18" s="42">
        <v>7800</v>
      </c>
      <c r="R18" s="43">
        <f t="shared" si="3"/>
        <v>3900</v>
      </c>
    </row>
    <row r="19" spans="4:18" ht="35.1" customHeight="1" x14ac:dyDescent="0.3">
      <c r="D19" s="348" t="s">
        <v>260</v>
      </c>
      <c r="E19" s="348" t="s">
        <v>450</v>
      </c>
      <c r="F19" s="349" t="s">
        <v>56</v>
      </c>
      <c r="G19" s="350" t="s">
        <v>57</v>
      </c>
      <c r="H19" s="350">
        <v>15</v>
      </c>
      <c r="I19" s="351">
        <v>4760</v>
      </c>
      <c r="J19" s="351">
        <v>4760</v>
      </c>
      <c r="K19" s="352">
        <f t="shared" ref="K19:K27" si="4"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352">
        <f t="shared" ref="L19:L27" si="5"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383.52</v>
      </c>
      <c r="M19" s="351">
        <f t="shared" si="1"/>
        <v>4376.4799999999996</v>
      </c>
      <c r="N19" s="104"/>
      <c r="Q19" s="42" t="e">
        <f>#REF!*13</f>
        <v>#REF!</v>
      </c>
      <c r="R19" s="43"/>
    </row>
    <row r="20" spans="4:18" ht="35.1" customHeight="1" x14ac:dyDescent="0.3">
      <c r="D20" s="358"/>
      <c r="E20" s="358" t="s">
        <v>450</v>
      </c>
      <c r="F20" s="349" t="s">
        <v>56</v>
      </c>
      <c r="G20" s="354" t="s">
        <v>57</v>
      </c>
      <c r="H20" s="350">
        <v>15</v>
      </c>
      <c r="I20" s="351">
        <v>4760</v>
      </c>
      <c r="J20" s="351">
        <v>4760</v>
      </c>
      <c r="K20" s="352">
        <f t="shared" si="4"/>
        <v>0</v>
      </c>
      <c r="L20" s="352">
        <f t="shared" si="5"/>
        <v>383.52</v>
      </c>
      <c r="M20" s="351">
        <f t="shared" si="1"/>
        <v>4376.4799999999996</v>
      </c>
      <c r="N20" s="104"/>
      <c r="Q20" s="42">
        <v>339.76</v>
      </c>
      <c r="R20" s="43"/>
    </row>
    <row r="21" spans="4:18" ht="33" customHeight="1" x14ac:dyDescent="0.3">
      <c r="D21" s="358" t="s">
        <v>261</v>
      </c>
      <c r="E21" s="358" t="s">
        <v>450</v>
      </c>
      <c r="F21" s="349" t="s">
        <v>56</v>
      </c>
      <c r="G21" s="350" t="s">
        <v>57</v>
      </c>
      <c r="H21" s="350">
        <v>15</v>
      </c>
      <c r="I21" s="351">
        <v>4760</v>
      </c>
      <c r="J21" s="351">
        <v>4760</v>
      </c>
      <c r="K21" s="352">
        <f t="shared" si="4"/>
        <v>0</v>
      </c>
      <c r="L21" s="352">
        <f t="shared" si="5"/>
        <v>383.52</v>
      </c>
      <c r="M21" s="351">
        <f t="shared" si="1"/>
        <v>4376.4799999999996</v>
      </c>
      <c r="N21" s="104"/>
      <c r="Q21" s="42" t="e">
        <f>Q19-#REF!</f>
        <v>#REF!</v>
      </c>
      <c r="R21" s="43"/>
    </row>
    <row r="22" spans="4:18" ht="34.5" hidden="1" customHeight="1" x14ac:dyDescent="0.3">
      <c r="D22" s="358"/>
      <c r="E22" s="358"/>
      <c r="F22" s="349" t="s">
        <v>56</v>
      </c>
      <c r="G22" s="350"/>
      <c r="H22" s="350"/>
      <c r="I22" s="351"/>
      <c r="J22" s="351"/>
      <c r="K22" s="352"/>
      <c r="L22" s="352"/>
      <c r="M22" s="351"/>
      <c r="N22" s="104"/>
      <c r="Q22" s="42"/>
      <c r="R22" s="43"/>
    </row>
    <row r="23" spans="4:18" ht="35.1" customHeight="1" x14ac:dyDescent="0.3">
      <c r="D23" s="358"/>
      <c r="E23" s="358" t="s">
        <v>450</v>
      </c>
      <c r="F23" s="349" t="s">
        <v>56</v>
      </c>
      <c r="G23" s="350" t="s">
        <v>57</v>
      </c>
      <c r="H23" s="350">
        <v>15</v>
      </c>
      <c r="I23" s="351">
        <v>4760</v>
      </c>
      <c r="J23" s="351">
        <v>4760</v>
      </c>
      <c r="K23" s="352">
        <f t="shared" si="4"/>
        <v>0</v>
      </c>
      <c r="L23" s="352">
        <f t="shared" si="5"/>
        <v>383.52</v>
      </c>
      <c r="M23" s="351">
        <f t="shared" si="1"/>
        <v>4376.4799999999996</v>
      </c>
      <c r="N23" s="104"/>
      <c r="Q23" s="42"/>
      <c r="R23" s="43"/>
    </row>
    <row r="24" spans="4:18" ht="35.1" customHeight="1" x14ac:dyDescent="0.3">
      <c r="D24" s="358" t="s">
        <v>262</v>
      </c>
      <c r="E24" s="358" t="s">
        <v>450</v>
      </c>
      <c r="F24" s="349" t="s">
        <v>56</v>
      </c>
      <c r="G24" s="350" t="s">
        <v>57</v>
      </c>
      <c r="H24" s="350">
        <v>15</v>
      </c>
      <c r="I24" s="351">
        <v>4760</v>
      </c>
      <c r="J24" s="351">
        <v>4760</v>
      </c>
      <c r="K24" s="352">
        <f t="shared" si="4"/>
        <v>0</v>
      </c>
      <c r="L24" s="352">
        <f t="shared" si="5"/>
        <v>383.52</v>
      </c>
      <c r="M24" s="351">
        <f t="shared" si="1"/>
        <v>4376.4799999999996</v>
      </c>
      <c r="N24" s="104"/>
      <c r="Q24" s="42"/>
      <c r="R24" s="43"/>
    </row>
    <row r="25" spans="4:18" ht="35.1" customHeight="1" x14ac:dyDescent="0.3">
      <c r="D25" s="358" t="s">
        <v>282</v>
      </c>
      <c r="E25" s="358" t="s">
        <v>450</v>
      </c>
      <c r="F25" s="349" t="s">
        <v>56</v>
      </c>
      <c r="G25" s="350" t="s">
        <v>57</v>
      </c>
      <c r="H25" s="350">
        <v>15</v>
      </c>
      <c r="I25" s="351">
        <v>4760</v>
      </c>
      <c r="J25" s="351">
        <v>4760</v>
      </c>
      <c r="K25" s="352">
        <f t="shared" si="4"/>
        <v>0</v>
      </c>
      <c r="L25" s="352">
        <f t="shared" si="5"/>
        <v>383.52</v>
      </c>
      <c r="M25" s="351">
        <f t="shared" si="1"/>
        <v>4376.4799999999996</v>
      </c>
      <c r="N25" s="104"/>
      <c r="O25" s="26" t="s">
        <v>276</v>
      </c>
      <c r="Q25" s="42"/>
      <c r="R25" s="43"/>
    </row>
    <row r="26" spans="4:18" ht="35.1" customHeight="1" x14ac:dyDescent="0.3">
      <c r="D26" s="358"/>
      <c r="E26" s="358" t="s">
        <v>214</v>
      </c>
      <c r="F26" s="349" t="s">
        <v>56</v>
      </c>
      <c r="G26" s="350" t="s">
        <v>57</v>
      </c>
      <c r="H26" s="350">
        <v>15</v>
      </c>
      <c r="I26" s="351">
        <v>4760</v>
      </c>
      <c r="J26" s="351">
        <v>4760</v>
      </c>
      <c r="K26" s="352">
        <f t="shared" si="4"/>
        <v>0</v>
      </c>
      <c r="L26" s="352">
        <f t="shared" si="5"/>
        <v>383.52</v>
      </c>
      <c r="M26" s="351">
        <f t="shared" si="1"/>
        <v>4376.4799999999996</v>
      </c>
      <c r="N26" s="247"/>
      <c r="O26" s="26" t="s">
        <v>277</v>
      </c>
      <c r="Q26" s="42"/>
      <c r="R26" s="43"/>
    </row>
    <row r="27" spans="4:18" ht="35.1" customHeight="1" x14ac:dyDescent="0.3">
      <c r="D27" s="358" t="s">
        <v>283</v>
      </c>
      <c r="E27" s="358" t="s">
        <v>214</v>
      </c>
      <c r="F27" s="349" t="s">
        <v>56</v>
      </c>
      <c r="G27" s="350" t="s">
        <v>57</v>
      </c>
      <c r="H27" s="350">
        <v>15</v>
      </c>
      <c r="I27" s="351">
        <v>4760</v>
      </c>
      <c r="J27" s="351">
        <v>4760</v>
      </c>
      <c r="K27" s="352">
        <f t="shared" si="4"/>
        <v>0</v>
      </c>
      <c r="L27" s="352">
        <f t="shared" si="5"/>
        <v>383.52</v>
      </c>
      <c r="M27" s="351">
        <f t="shared" si="1"/>
        <v>4376.4799999999996</v>
      </c>
      <c r="N27" s="247"/>
      <c r="O27" s="26" t="s">
        <v>278</v>
      </c>
      <c r="Q27" s="42"/>
      <c r="R27" s="43"/>
    </row>
    <row r="28" spans="4:18" ht="35.1" customHeight="1" x14ac:dyDescent="0.3">
      <c r="D28" s="358"/>
      <c r="E28" s="358" t="s">
        <v>450</v>
      </c>
      <c r="F28" s="349" t="s">
        <v>56</v>
      </c>
      <c r="G28" s="350" t="s">
        <v>57</v>
      </c>
      <c r="H28" s="350">
        <v>15</v>
      </c>
      <c r="I28" s="351">
        <v>4760</v>
      </c>
      <c r="J28" s="351">
        <v>4760</v>
      </c>
      <c r="K28" s="352">
        <v>0</v>
      </c>
      <c r="L28" s="352">
        <f t="shared" ref="L28:L30" si="6"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383.52</v>
      </c>
      <c r="M28" s="351">
        <f t="shared" ref="M28:M30" si="7">J28+K28-L28</f>
        <v>4376.4799999999996</v>
      </c>
      <c r="N28" s="247"/>
      <c r="O28" s="26"/>
      <c r="Q28" s="42"/>
      <c r="R28" s="43"/>
    </row>
    <row r="29" spans="4:18" ht="35.1" customHeight="1" x14ac:dyDescent="0.3">
      <c r="D29" s="358"/>
      <c r="E29" s="358" t="s">
        <v>450</v>
      </c>
      <c r="F29" s="349" t="s">
        <v>56</v>
      </c>
      <c r="G29" s="350" t="s">
        <v>57</v>
      </c>
      <c r="H29" s="350">
        <v>15</v>
      </c>
      <c r="I29" s="351">
        <v>4760</v>
      </c>
      <c r="J29" s="351">
        <v>4760</v>
      </c>
      <c r="K29" s="352">
        <v>0</v>
      </c>
      <c r="L29" s="352">
        <f t="shared" si="6"/>
        <v>383.52</v>
      </c>
      <c r="M29" s="351">
        <f t="shared" si="7"/>
        <v>4376.4799999999996</v>
      </c>
      <c r="N29" s="247"/>
      <c r="O29" s="26" t="s">
        <v>286</v>
      </c>
      <c r="Q29" s="42"/>
      <c r="R29" s="43"/>
    </row>
    <row r="30" spans="4:18" ht="35.1" customHeight="1" x14ac:dyDescent="0.3">
      <c r="D30" s="358"/>
      <c r="E30" s="358" t="s">
        <v>214</v>
      </c>
      <c r="F30" s="349" t="s">
        <v>56</v>
      </c>
      <c r="G30" s="350" t="s">
        <v>57</v>
      </c>
      <c r="H30" s="350">
        <v>15</v>
      </c>
      <c r="I30" s="351">
        <v>4760</v>
      </c>
      <c r="J30" s="351">
        <v>4760</v>
      </c>
      <c r="K30" s="352"/>
      <c r="L30" s="352">
        <f t="shared" si="6"/>
        <v>383.52</v>
      </c>
      <c r="M30" s="351">
        <f t="shared" si="7"/>
        <v>4376.4799999999996</v>
      </c>
      <c r="N30" s="247"/>
      <c r="O30" s="26" t="s">
        <v>295</v>
      </c>
      <c r="Q30" s="42"/>
      <c r="R30" s="43"/>
    </row>
    <row r="31" spans="4:18" ht="35.1" customHeight="1" x14ac:dyDescent="0.3">
      <c r="D31" s="358"/>
      <c r="E31" s="358" t="s">
        <v>450</v>
      </c>
      <c r="F31" s="349" t="s">
        <v>56</v>
      </c>
      <c r="G31" s="350" t="s">
        <v>57</v>
      </c>
      <c r="H31" s="350">
        <v>15</v>
      </c>
      <c r="I31" s="351">
        <v>4760</v>
      </c>
      <c r="J31" s="351">
        <v>4760</v>
      </c>
      <c r="K31" s="352"/>
      <c r="L31" s="352">
        <f t="shared" ref="L31:L36" si="8"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383.52</v>
      </c>
      <c r="M31" s="351">
        <f t="shared" ref="M31:M33" si="9">J31+K31-L31</f>
        <v>4376.4799999999996</v>
      </c>
      <c r="N31" s="247"/>
      <c r="O31" s="26"/>
      <c r="Q31" s="42"/>
      <c r="R31" s="43"/>
    </row>
    <row r="32" spans="4:18" ht="35.1" customHeight="1" x14ac:dyDescent="0.3">
      <c r="D32" s="358"/>
      <c r="E32" s="358" t="s">
        <v>214</v>
      </c>
      <c r="F32" s="349" t="s">
        <v>56</v>
      </c>
      <c r="G32" s="350" t="s">
        <v>57</v>
      </c>
      <c r="H32" s="350">
        <v>15</v>
      </c>
      <c r="I32" s="351">
        <v>4760</v>
      </c>
      <c r="J32" s="351">
        <v>4760</v>
      </c>
      <c r="K32" s="352">
        <f t="shared" ref="K32:K36" si="10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352">
        <f t="shared" si="8"/>
        <v>383.52</v>
      </c>
      <c r="M32" s="351">
        <f t="shared" si="9"/>
        <v>4376.4799999999996</v>
      </c>
      <c r="N32" s="247"/>
      <c r="O32" s="26"/>
      <c r="Q32" s="42"/>
      <c r="R32" s="43"/>
    </row>
    <row r="33" spans="4:18" ht="35.1" customHeight="1" x14ac:dyDescent="0.3">
      <c r="D33" s="358"/>
      <c r="E33" s="358" t="s">
        <v>450</v>
      </c>
      <c r="F33" s="349" t="s">
        <v>56</v>
      </c>
      <c r="G33" s="350" t="s">
        <v>57</v>
      </c>
      <c r="H33" s="350">
        <v>15</v>
      </c>
      <c r="I33" s="351">
        <v>4760</v>
      </c>
      <c r="J33" s="351">
        <v>4760</v>
      </c>
      <c r="K33" s="352">
        <f t="shared" si="10"/>
        <v>0</v>
      </c>
      <c r="L33" s="352">
        <f t="shared" si="8"/>
        <v>383.52</v>
      </c>
      <c r="M33" s="351">
        <f t="shared" si="9"/>
        <v>4376.4799999999996</v>
      </c>
      <c r="N33" s="247"/>
      <c r="O33" s="26"/>
      <c r="Q33" s="42"/>
      <c r="R33" s="43"/>
    </row>
    <row r="34" spans="4:18" ht="35.1" customHeight="1" x14ac:dyDescent="0.3">
      <c r="D34" s="358"/>
      <c r="E34" s="358" t="s">
        <v>450</v>
      </c>
      <c r="F34" s="349" t="s">
        <v>56</v>
      </c>
      <c r="G34" s="350" t="s">
        <v>57</v>
      </c>
      <c r="H34" s="350">
        <v>15</v>
      </c>
      <c r="I34" s="351">
        <v>4760</v>
      </c>
      <c r="J34" s="351">
        <v>4760</v>
      </c>
      <c r="K34" s="352">
        <f t="shared" si="10"/>
        <v>0</v>
      </c>
      <c r="L34" s="352">
        <f t="shared" si="8"/>
        <v>383.52</v>
      </c>
      <c r="M34" s="351">
        <f t="shared" ref="M34:M36" si="11">J34+K34-L34</f>
        <v>4376.4799999999996</v>
      </c>
      <c r="N34" s="247"/>
      <c r="O34" s="26"/>
      <c r="Q34" s="42"/>
      <c r="R34" s="43"/>
    </row>
    <row r="35" spans="4:18" ht="35.1" customHeight="1" x14ac:dyDescent="0.3">
      <c r="D35" s="358"/>
      <c r="E35" s="358" t="s">
        <v>450</v>
      </c>
      <c r="F35" s="349" t="s">
        <v>56</v>
      </c>
      <c r="G35" s="350" t="s">
        <v>57</v>
      </c>
      <c r="H35" s="350">
        <v>15</v>
      </c>
      <c r="I35" s="351">
        <v>4760</v>
      </c>
      <c r="J35" s="351">
        <v>4760</v>
      </c>
      <c r="K35" s="352">
        <f t="shared" si="10"/>
        <v>0</v>
      </c>
      <c r="L35" s="352">
        <f t="shared" si="8"/>
        <v>383.52</v>
      </c>
      <c r="M35" s="351">
        <f t="shared" si="11"/>
        <v>4376.4799999999996</v>
      </c>
      <c r="N35" s="247"/>
      <c r="O35" s="26"/>
      <c r="Q35" s="42"/>
      <c r="R35" s="43"/>
    </row>
    <row r="36" spans="4:18" ht="35.1" customHeight="1" x14ac:dyDescent="0.3">
      <c r="D36" s="358"/>
      <c r="E36" s="358" t="s">
        <v>214</v>
      </c>
      <c r="F36" s="349" t="s">
        <v>56</v>
      </c>
      <c r="G36" s="350" t="s">
        <v>57</v>
      </c>
      <c r="H36" s="350">
        <v>15</v>
      </c>
      <c r="I36" s="351">
        <v>4760</v>
      </c>
      <c r="J36" s="351">
        <v>4760</v>
      </c>
      <c r="K36" s="352">
        <f t="shared" si="10"/>
        <v>0</v>
      </c>
      <c r="L36" s="352">
        <f t="shared" si="8"/>
        <v>383.52</v>
      </c>
      <c r="M36" s="351">
        <f t="shared" si="11"/>
        <v>4376.4799999999996</v>
      </c>
      <c r="N36" s="247"/>
      <c r="O36" s="26"/>
      <c r="Q36" s="42"/>
      <c r="R36" s="43"/>
    </row>
    <row r="37" spans="4:18" ht="35.1" customHeight="1" x14ac:dyDescent="0.3">
      <c r="D37" s="358"/>
      <c r="E37" s="358"/>
      <c r="F37" s="359" t="s">
        <v>410</v>
      </c>
      <c r="G37" s="350"/>
      <c r="H37" s="350"/>
      <c r="I37" s="351"/>
      <c r="J37" s="351"/>
      <c r="K37" s="352"/>
      <c r="L37" s="352"/>
      <c r="M37" s="351"/>
      <c r="N37" s="247"/>
      <c r="O37" s="26"/>
      <c r="Q37" s="42"/>
      <c r="R37" s="43"/>
    </row>
    <row r="38" spans="4:18" ht="35.1" customHeight="1" x14ac:dyDescent="0.3">
      <c r="D38" s="358" t="s">
        <v>259</v>
      </c>
      <c r="E38" s="360" t="s">
        <v>450</v>
      </c>
      <c r="F38" s="357" t="s">
        <v>149</v>
      </c>
      <c r="G38" s="354" t="s">
        <v>411</v>
      </c>
      <c r="H38" s="350">
        <v>15</v>
      </c>
      <c r="I38" s="351">
        <v>3908</v>
      </c>
      <c r="J38" s="351">
        <v>3908</v>
      </c>
      <c r="K38" s="352">
        <f t="shared" ref="K38:K39" si="12"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352">
        <f t="shared" ref="L38:L39" si="13"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290</v>
      </c>
      <c r="M38" s="351">
        <f t="shared" ref="M38:M39" si="14">J38+K38-L38</f>
        <v>3618</v>
      </c>
      <c r="N38" s="247"/>
      <c r="O38" s="26"/>
      <c r="Q38" s="42"/>
      <c r="R38" s="43"/>
    </row>
    <row r="39" spans="4:18" ht="35.1" customHeight="1" x14ac:dyDescent="0.3">
      <c r="D39" s="358" t="s">
        <v>394</v>
      </c>
      <c r="E39" s="358" t="s">
        <v>450</v>
      </c>
      <c r="F39" s="354" t="s">
        <v>393</v>
      </c>
      <c r="G39" s="350" t="s">
        <v>294</v>
      </c>
      <c r="H39" s="350">
        <v>15</v>
      </c>
      <c r="I39" s="361">
        <v>3908</v>
      </c>
      <c r="J39" s="361">
        <v>3908</v>
      </c>
      <c r="K39" s="362">
        <f t="shared" si="12"/>
        <v>0</v>
      </c>
      <c r="L39" s="362">
        <f t="shared" si="13"/>
        <v>290</v>
      </c>
      <c r="M39" s="361">
        <f t="shared" si="14"/>
        <v>3618</v>
      </c>
      <c r="N39" s="24"/>
      <c r="Q39" s="42"/>
    </row>
    <row r="40" spans="4:18" ht="26.1" customHeight="1" thickBot="1" x14ac:dyDescent="0.35">
      <c r="D40" s="525" t="s">
        <v>61</v>
      </c>
      <c r="E40" s="526"/>
      <c r="F40" s="526"/>
      <c r="G40" s="526"/>
      <c r="H40" s="268"/>
      <c r="I40" s="332">
        <f>I39+I38+I36+I35+I34+I33+I32+I31+I30+I29+I28+I27+I26+I25+I24+I23+I22+I21+I20+I19+I18+I17+I16+I15+I14+I13+I12+I11</f>
        <v>136021</v>
      </c>
      <c r="J40" s="332">
        <f>J39+J38+J36+J35+J34+J33+J32+J31+J30+J29+J28+J27+J26+J25+J24+J23+J22+J21+J20+J19+J18+J17+J16+J15+J14+J13+J12+J11</f>
        <v>136021</v>
      </c>
      <c r="K40" s="332">
        <f>SUM(K11:K39)</f>
        <v>0</v>
      </c>
      <c r="L40" s="332">
        <f>L39+L38+L36+L35+L34+L33+L32+L31+L30+L29+L28+L27+L26+L25+L24+L23+L22+L21+L20+L19+L18+L17+L16+L15+L14+L13+L12+L11</f>
        <v>11896.560000000001</v>
      </c>
      <c r="M40" s="332">
        <f>M39+M38+M36+M35+M34+M33+M32+M31+M30+M29+M28+M27+M26+M25+M24+M23+M22+M21+M20+M19+M18+M17+M16+M15+M14+M13+M12+M11</f>
        <v>124124.43999999994</v>
      </c>
      <c r="N40" s="331"/>
      <c r="Q40" s="42"/>
      <c r="R40" s="43">
        <f>SUM(R11:R39)</f>
        <v>14454</v>
      </c>
    </row>
    <row r="41" spans="4:18" ht="13.8" thickTop="1" x14ac:dyDescent="0.25">
      <c r="I41" s="34"/>
      <c r="Q41" s="42"/>
    </row>
    <row r="42" spans="4:18" x14ac:dyDescent="0.25">
      <c r="Q42" s="42"/>
    </row>
    <row r="43" spans="4:18" x14ac:dyDescent="0.25">
      <c r="Q43" s="42"/>
    </row>
    <row r="44" spans="4:18" x14ac:dyDescent="0.25">
      <c r="F44" s="27" t="s">
        <v>99</v>
      </c>
      <c r="I44" s="27"/>
      <c r="J44" s="27"/>
      <c r="K44" s="27"/>
      <c r="L44" s="27"/>
      <c r="M44" s="53"/>
      <c r="N44" s="53"/>
      <c r="Q44" s="42"/>
    </row>
    <row r="45" spans="4:18" x14ac:dyDescent="0.25">
      <c r="F45" s="26" t="s">
        <v>420</v>
      </c>
      <c r="M45" s="541" t="s">
        <v>424</v>
      </c>
      <c r="N45" s="541"/>
      <c r="Q45" s="42"/>
    </row>
    <row r="46" spans="4:18" x14ac:dyDescent="0.25">
      <c r="F46" s="27" t="s">
        <v>11</v>
      </c>
      <c r="G46" s="27"/>
      <c r="H46" s="27"/>
      <c r="I46" s="27"/>
      <c r="J46" s="27"/>
      <c r="K46" s="27"/>
      <c r="L46" s="27"/>
      <c r="M46" s="542" t="s">
        <v>136</v>
      </c>
      <c r="N46" s="542"/>
      <c r="Q46" s="42"/>
    </row>
    <row r="47" spans="4:18" x14ac:dyDescent="0.25">
      <c r="I47" s="58">
        <f>SUM(I11:I39)</f>
        <v>136021</v>
      </c>
      <c r="J47" s="58">
        <f>SUM(J11:J39)</f>
        <v>136021</v>
      </c>
      <c r="K47" s="58">
        <f>SUM(K11:K39)</f>
        <v>0</v>
      </c>
      <c r="L47" s="58">
        <f>SUM(L11:L39)</f>
        <v>11896.560000000009</v>
      </c>
      <c r="M47" s="58">
        <f>SUM(M11:M39)</f>
        <v>124124.43999999993</v>
      </c>
      <c r="N47" s="42"/>
      <c r="Q47" s="42"/>
    </row>
    <row r="48" spans="4:18" x14ac:dyDescent="0.25">
      <c r="N48" s="42"/>
    </row>
    <row r="49" spans="4:18" x14ac:dyDescent="0.25">
      <c r="N49" s="42"/>
    </row>
    <row r="50" spans="4:18" x14ac:dyDescent="0.25">
      <c r="N50" s="42"/>
    </row>
    <row r="51" spans="4:18" ht="17.399999999999999" x14ac:dyDescent="0.3"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</row>
    <row r="52" spans="4:18" ht="35.1" customHeight="1" x14ac:dyDescent="0.6">
      <c r="D52" s="586" t="s">
        <v>454</v>
      </c>
      <c r="E52" s="587"/>
      <c r="F52" s="587"/>
      <c r="G52" s="587"/>
      <c r="H52" s="587"/>
      <c r="I52" s="587"/>
      <c r="J52" s="587"/>
      <c r="K52" s="587"/>
      <c r="L52" s="587"/>
      <c r="M52" s="587"/>
      <c r="N52" s="588"/>
    </row>
    <row r="53" spans="4:18" ht="24.75" customHeight="1" x14ac:dyDescent="0.6">
      <c r="D53" s="580" t="str">
        <f>D5</f>
        <v>NOMINA 2DA QUINCENA DE DICIEMBRE DE  2021</v>
      </c>
      <c r="E53" s="581"/>
      <c r="F53" s="581"/>
      <c r="G53" s="581"/>
      <c r="H53" s="581"/>
      <c r="I53" s="581"/>
      <c r="J53" s="581"/>
      <c r="K53" s="581"/>
      <c r="L53" s="581"/>
      <c r="M53" s="581"/>
      <c r="N53" s="582"/>
    </row>
    <row r="54" spans="4:18" ht="28.5" customHeight="1" x14ac:dyDescent="0.6">
      <c r="D54" s="591" t="s">
        <v>173</v>
      </c>
      <c r="E54" s="592"/>
      <c r="F54" s="592"/>
      <c r="G54" s="592"/>
      <c r="H54" s="592"/>
      <c r="I54" s="592"/>
      <c r="J54" s="592"/>
      <c r="K54" s="592"/>
      <c r="L54" s="592"/>
      <c r="M54" s="592"/>
      <c r="N54" s="593"/>
    </row>
    <row r="55" spans="4:18" x14ac:dyDescent="0.25">
      <c r="D55" s="303"/>
      <c r="E55" s="322" t="s">
        <v>208</v>
      </c>
      <c r="F55" s="323"/>
      <c r="G55" s="323"/>
      <c r="H55" s="324"/>
      <c r="I55" s="325"/>
      <c r="J55" s="583"/>
      <c r="K55" s="584"/>
      <c r="L55" s="584"/>
      <c r="M55" s="584"/>
      <c r="N55" s="585"/>
    </row>
    <row r="56" spans="4:18" x14ac:dyDescent="0.25">
      <c r="D56" s="308" t="s">
        <v>3</v>
      </c>
      <c r="E56" s="306" t="s">
        <v>209</v>
      </c>
      <c r="F56" s="326"/>
      <c r="G56" s="326"/>
      <c r="H56" s="326"/>
      <c r="I56" s="327" t="s">
        <v>1</v>
      </c>
      <c r="J56" s="328" t="s">
        <v>125</v>
      </c>
      <c r="K56" s="328" t="s">
        <v>129</v>
      </c>
      <c r="L56" s="328"/>
      <c r="M56" s="326" t="s">
        <v>135</v>
      </c>
      <c r="N56" s="326"/>
    </row>
    <row r="57" spans="4:18" x14ac:dyDescent="0.25">
      <c r="D57" s="308"/>
      <c r="E57" s="306"/>
      <c r="F57" s="327"/>
      <c r="G57" s="327" t="s">
        <v>10</v>
      </c>
      <c r="H57" s="326"/>
      <c r="I57" s="326" t="s">
        <v>127</v>
      </c>
      <c r="J57" s="327" t="s">
        <v>128</v>
      </c>
      <c r="K57" s="327" t="s">
        <v>130</v>
      </c>
      <c r="L57" s="327" t="s">
        <v>131</v>
      </c>
      <c r="M57" s="326" t="s">
        <v>134</v>
      </c>
      <c r="N57" s="326" t="s">
        <v>133</v>
      </c>
    </row>
    <row r="58" spans="4:18" x14ac:dyDescent="0.25">
      <c r="D58" s="310"/>
      <c r="E58" s="310"/>
      <c r="F58" s="328" t="s">
        <v>173</v>
      </c>
      <c r="G58" s="328" t="s">
        <v>9</v>
      </c>
      <c r="H58" s="328" t="s">
        <v>140</v>
      </c>
      <c r="I58" s="328"/>
      <c r="J58" s="328"/>
      <c r="K58" s="328"/>
      <c r="L58" s="328"/>
      <c r="M58" s="328"/>
      <c r="N58" s="328"/>
    </row>
    <row r="59" spans="4:18" x14ac:dyDescent="0.25">
      <c r="G59" s="74"/>
      <c r="H59" s="74"/>
      <c r="I59" s="74"/>
      <c r="J59" s="74"/>
      <c r="K59" s="74"/>
      <c r="L59" s="74"/>
      <c r="M59" s="74"/>
      <c r="N59" s="74"/>
    </row>
    <row r="60" spans="4:18" x14ac:dyDescent="0.25">
      <c r="G60" s="34"/>
      <c r="H60" s="34"/>
      <c r="I60" s="34"/>
      <c r="J60" s="34"/>
      <c r="K60" s="34"/>
      <c r="L60" s="34"/>
      <c r="M60" s="34"/>
      <c r="N60" s="34"/>
    </row>
    <row r="61" spans="4:18" ht="48" customHeight="1" x14ac:dyDescent="0.3">
      <c r="D61" s="347"/>
      <c r="E61" s="363" t="s">
        <v>214</v>
      </c>
      <c r="F61" s="364" t="s">
        <v>366</v>
      </c>
      <c r="G61" s="350" t="s">
        <v>367</v>
      </c>
      <c r="H61" s="350">
        <v>15</v>
      </c>
      <c r="I61" s="351">
        <v>4337</v>
      </c>
      <c r="J61" s="351">
        <v>4337</v>
      </c>
      <c r="K61" s="352">
        <f t="shared" ref="K61:K68" si="15"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352">
        <f t="shared" ref="L61:L68" si="16"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336.68</v>
      </c>
      <c r="M61" s="351">
        <f t="shared" ref="M61:M66" si="17">J61-L61</f>
        <v>4000.32</v>
      </c>
      <c r="N61" s="351"/>
      <c r="Q61" s="42">
        <v>6770</v>
      </c>
      <c r="R61" s="43">
        <f>Q61/2</f>
        <v>3385</v>
      </c>
    </row>
    <row r="62" spans="4:18" ht="48" customHeight="1" x14ac:dyDescent="0.3">
      <c r="D62" s="365"/>
      <c r="E62" s="366" t="s">
        <v>450</v>
      </c>
      <c r="F62" s="350" t="s">
        <v>369</v>
      </c>
      <c r="G62" s="350" t="s">
        <v>368</v>
      </c>
      <c r="H62" s="350">
        <v>15</v>
      </c>
      <c r="I62" s="351">
        <v>3888</v>
      </c>
      <c r="J62" s="351">
        <v>3888</v>
      </c>
      <c r="K62" s="352">
        <f t="shared" si="15"/>
        <v>0</v>
      </c>
      <c r="L62" s="352">
        <f t="shared" si="16"/>
        <v>287.83</v>
      </c>
      <c r="M62" s="351">
        <f t="shared" si="17"/>
        <v>3600.17</v>
      </c>
      <c r="N62" s="351"/>
      <c r="Q62" s="42"/>
      <c r="R62" s="43"/>
    </row>
    <row r="63" spans="4:18" ht="48" customHeight="1" x14ac:dyDescent="0.3">
      <c r="D63" s="367" t="s">
        <v>263</v>
      </c>
      <c r="E63" s="366" t="s">
        <v>450</v>
      </c>
      <c r="F63" s="350" t="s">
        <v>101</v>
      </c>
      <c r="G63" s="350" t="s">
        <v>35</v>
      </c>
      <c r="H63" s="350">
        <v>15</v>
      </c>
      <c r="I63" s="351">
        <v>3922</v>
      </c>
      <c r="J63" s="351">
        <v>3922</v>
      </c>
      <c r="K63" s="352">
        <f t="shared" si="15"/>
        <v>0</v>
      </c>
      <c r="L63" s="352">
        <f t="shared" si="16"/>
        <v>291.52999999999997</v>
      </c>
      <c r="M63" s="351">
        <f t="shared" si="17"/>
        <v>3630.4700000000003</v>
      </c>
      <c r="N63" s="351"/>
      <c r="Q63" s="42"/>
      <c r="R63" s="43"/>
    </row>
    <row r="64" spans="4:18" ht="48" customHeight="1" x14ac:dyDescent="0.3">
      <c r="D64" s="368" t="s">
        <v>264</v>
      </c>
      <c r="E64" s="369" t="s">
        <v>450</v>
      </c>
      <c r="F64" s="350" t="s">
        <v>102</v>
      </c>
      <c r="G64" s="350" t="s">
        <v>103</v>
      </c>
      <c r="H64" s="350">
        <v>15</v>
      </c>
      <c r="I64" s="351">
        <v>4483</v>
      </c>
      <c r="J64" s="351">
        <v>4483</v>
      </c>
      <c r="K64" s="352">
        <f t="shared" si="15"/>
        <v>0</v>
      </c>
      <c r="L64" s="352">
        <f t="shared" si="16"/>
        <v>352.56</v>
      </c>
      <c r="M64" s="351">
        <f t="shared" si="17"/>
        <v>4130.4399999999996</v>
      </c>
      <c r="N64" s="351"/>
      <c r="Q64" s="42">
        <v>6770</v>
      </c>
      <c r="R64" s="43">
        <f>Q64/2</f>
        <v>3385</v>
      </c>
    </row>
    <row r="65" spans="4:18" ht="48" customHeight="1" x14ac:dyDescent="0.3">
      <c r="D65" s="370" t="s">
        <v>265</v>
      </c>
      <c r="E65" s="358" t="s">
        <v>450</v>
      </c>
      <c r="F65" s="350" t="s">
        <v>162</v>
      </c>
      <c r="G65" s="350" t="s">
        <v>103</v>
      </c>
      <c r="H65" s="350">
        <v>15</v>
      </c>
      <c r="I65" s="351">
        <v>3299</v>
      </c>
      <c r="J65" s="351">
        <f>I65</f>
        <v>3299</v>
      </c>
      <c r="K65" s="352">
        <f t="shared" si="15"/>
        <v>0</v>
      </c>
      <c r="L65" s="352">
        <f t="shared" si="16"/>
        <v>98.64</v>
      </c>
      <c r="M65" s="351">
        <f t="shared" si="17"/>
        <v>3200.36</v>
      </c>
      <c r="N65" s="351"/>
      <c r="Q65" s="42">
        <v>4170</v>
      </c>
      <c r="R65" s="43">
        <f>Q65/2</f>
        <v>2085</v>
      </c>
    </row>
    <row r="66" spans="4:18" ht="48" customHeight="1" x14ac:dyDescent="0.3">
      <c r="D66" s="371" t="s">
        <v>266</v>
      </c>
      <c r="E66" s="372" t="s">
        <v>450</v>
      </c>
      <c r="F66" s="350" t="s">
        <v>148</v>
      </c>
      <c r="G66" s="350" t="s">
        <v>35</v>
      </c>
      <c r="H66" s="350">
        <v>15</v>
      </c>
      <c r="I66" s="351">
        <v>4225</v>
      </c>
      <c r="J66" s="351">
        <f>I66</f>
        <v>4225</v>
      </c>
      <c r="K66" s="352">
        <f t="shared" si="15"/>
        <v>0</v>
      </c>
      <c r="L66" s="352">
        <f t="shared" si="16"/>
        <v>324.49</v>
      </c>
      <c r="M66" s="351">
        <f t="shared" si="17"/>
        <v>3900.51</v>
      </c>
      <c r="N66" s="351"/>
      <c r="Q66" s="42">
        <v>4170</v>
      </c>
      <c r="R66" s="43">
        <f>Q66/2</f>
        <v>2085</v>
      </c>
    </row>
    <row r="67" spans="4:18" ht="48" customHeight="1" x14ac:dyDescent="0.3">
      <c r="D67" s="373"/>
      <c r="E67" s="374" t="s">
        <v>450</v>
      </c>
      <c r="F67" s="364" t="s">
        <v>364</v>
      </c>
      <c r="G67" s="375" t="s">
        <v>103</v>
      </c>
      <c r="H67" s="376">
        <v>15</v>
      </c>
      <c r="I67" s="351">
        <v>3299</v>
      </c>
      <c r="J67" s="351">
        <f>I67</f>
        <v>3299</v>
      </c>
      <c r="K67" s="352">
        <f t="shared" si="15"/>
        <v>0</v>
      </c>
      <c r="L67" s="352">
        <f t="shared" si="16"/>
        <v>98.64</v>
      </c>
      <c r="M67" s="351">
        <f t="shared" ref="M67" si="18">J67-L67</f>
        <v>3200.36</v>
      </c>
      <c r="N67" s="377"/>
      <c r="Q67" s="42"/>
      <c r="R67" s="43"/>
    </row>
    <row r="68" spans="4:18" ht="48" customHeight="1" x14ac:dyDescent="0.3">
      <c r="D68" s="373"/>
      <c r="E68" s="374" t="s">
        <v>450</v>
      </c>
      <c r="F68" s="364" t="s">
        <v>365</v>
      </c>
      <c r="G68" s="375" t="s">
        <v>35</v>
      </c>
      <c r="H68" s="376">
        <v>15</v>
      </c>
      <c r="I68" s="351">
        <v>3299</v>
      </c>
      <c r="J68" s="351">
        <f>I68</f>
        <v>3299</v>
      </c>
      <c r="K68" s="352">
        <f t="shared" si="15"/>
        <v>0</v>
      </c>
      <c r="L68" s="352">
        <f t="shared" si="16"/>
        <v>98.64</v>
      </c>
      <c r="M68" s="351">
        <f t="shared" ref="M68" si="19">J68-L68</f>
        <v>3200.36</v>
      </c>
      <c r="N68" s="377"/>
      <c r="Q68" s="42"/>
      <c r="R68" s="43"/>
    </row>
    <row r="69" spans="4:18" ht="50.1" customHeight="1" x14ac:dyDescent="0.3">
      <c r="D69" s="242"/>
      <c r="E69" s="242"/>
      <c r="F69" s="135"/>
      <c r="G69" s="135"/>
      <c r="H69" s="105"/>
      <c r="I69" s="134"/>
      <c r="J69" s="136"/>
      <c r="K69" s="137"/>
      <c r="L69" s="137"/>
      <c r="M69" s="137"/>
      <c r="O69" s="73"/>
    </row>
    <row r="70" spans="4:18" ht="33.75" customHeight="1" thickBot="1" x14ac:dyDescent="0.35">
      <c r="D70" s="589" t="s">
        <v>61</v>
      </c>
      <c r="E70" s="590"/>
      <c r="F70" s="590"/>
      <c r="G70" s="590"/>
      <c r="H70" s="106"/>
      <c r="I70" s="345">
        <f>SUM(I61:I69)</f>
        <v>30752</v>
      </c>
      <c r="J70" s="345">
        <f>SUM(J61:J69)</f>
        <v>30752</v>
      </c>
      <c r="K70" s="345">
        <f>SUM(K61:K69)</f>
        <v>0</v>
      </c>
      <c r="L70" s="345">
        <f>SUM(L61:L69)</f>
        <v>1889.0100000000002</v>
      </c>
      <c r="M70" s="345">
        <f>SUM(M61:M69)</f>
        <v>28862.989999999998</v>
      </c>
      <c r="N70" s="314"/>
    </row>
    <row r="71" spans="4:18" ht="13.8" thickTop="1" x14ac:dyDescent="0.25"/>
    <row r="78" spans="4:18" x14ac:dyDescent="0.25">
      <c r="F78" s="27" t="s">
        <v>99</v>
      </c>
      <c r="I78" s="27"/>
      <c r="J78" s="27"/>
      <c r="K78" s="27"/>
      <c r="L78" s="27"/>
      <c r="M78" s="53"/>
      <c r="N78" s="53"/>
    </row>
    <row r="79" spans="4:18" ht="24.9" customHeight="1" x14ac:dyDescent="0.25">
      <c r="F79" s="26" t="s">
        <v>425</v>
      </c>
      <c r="M79" s="541" t="s">
        <v>426</v>
      </c>
      <c r="N79" s="541"/>
    </row>
    <row r="80" spans="4:18" x14ac:dyDescent="0.25">
      <c r="F80" s="27" t="s">
        <v>11</v>
      </c>
      <c r="G80" s="27"/>
      <c r="H80" s="27"/>
      <c r="I80" s="27"/>
      <c r="J80" s="27"/>
      <c r="K80" s="27"/>
      <c r="L80" s="27"/>
      <c r="M80" s="542" t="s">
        <v>136</v>
      </c>
      <c r="N80" s="542"/>
    </row>
    <row r="82" spans="6:14" x14ac:dyDescent="0.25">
      <c r="M82" s="58">
        <f>SUM(M61:M68)</f>
        <v>28862.989999999998</v>
      </c>
    </row>
    <row r="83" spans="6:14" ht="24.9" customHeight="1" x14ac:dyDescent="0.25">
      <c r="F83" s="34"/>
      <c r="G83" s="34"/>
      <c r="H83" s="34"/>
      <c r="I83" s="34"/>
      <c r="J83" s="34"/>
      <c r="K83" s="34"/>
      <c r="L83" s="34"/>
      <c r="M83" s="34"/>
      <c r="N83" s="34"/>
    </row>
    <row r="84" spans="6:14" ht="24.9" customHeight="1" x14ac:dyDescent="0.25">
      <c r="F84" s="35"/>
      <c r="G84" s="34"/>
      <c r="H84" s="34"/>
      <c r="I84" s="35"/>
      <c r="J84" s="35"/>
      <c r="K84" s="35"/>
      <c r="L84" s="35"/>
      <c r="M84" s="35"/>
      <c r="N84" s="35"/>
    </row>
    <row r="85" spans="6:14" x14ac:dyDescent="0.25">
      <c r="F85" s="19"/>
      <c r="G85" s="34"/>
      <c r="H85" s="34"/>
      <c r="I85" s="34"/>
      <c r="J85" s="34"/>
      <c r="K85" s="34"/>
      <c r="L85" s="34"/>
      <c r="M85" s="34"/>
      <c r="N85" s="34"/>
    </row>
    <row r="86" spans="6:14" x14ac:dyDescent="0.25">
      <c r="F86" s="29"/>
      <c r="G86" s="27"/>
      <c r="H86" s="27"/>
      <c r="I86" s="27"/>
      <c r="J86" s="27"/>
      <c r="K86" s="27"/>
      <c r="L86" s="27"/>
      <c r="M86" s="27"/>
      <c r="N86" s="27"/>
    </row>
  </sheetData>
  <sheetProtection selectLockedCells="1" selectUnlockedCells="1"/>
  <mergeCells count="16">
    <mergeCell ref="M45:N45"/>
    <mergeCell ref="J55:N55"/>
    <mergeCell ref="M80:N80"/>
    <mergeCell ref="M46:N46"/>
    <mergeCell ref="D4:N4"/>
    <mergeCell ref="D52:N52"/>
    <mergeCell ref="D53:N53"/>
    <mergeCell ref="D70:G70"/>
    <mergeCell ref="M79:N79"/>
    <mergeCell ref="D54:N54"/>
    <mergeCell ref="D51:N51"/>
    <mergeCell ref="D3:N3"/>
    <mergeCell ref="D5:N5"/>
    <mergeCell ref="J7:N7"/>
    <mergeCell ref="D6:N6"/>
    <mergeCell ref="D40:G40"/>
  </mergeCells>
  <phoneticPr fontId="0" type="noConversion"/>
  <pageMargins left="0" right="0" top="0" bottom="0" header="0.11811023622047245" footer="0.31496062992125984"/>
  <pageSetup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5"/>
  <sheetViews>
    <sheetView topLeftCell="C35" workbookViewId="0">
      <selection activeCell="E69" sqref="E69"/>
    </sheetView>
  </sheetViews>
  <sheetFormatPr baseColWidth="10" defaultRowHeight="13.2" x14ac:dyDescent="0.25"/>
  <cols>
    <col min="1" max="2" width="0" hidden="1" customWidth="1"/>
    <col min="3" max="4" width="6.33203125" style="246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243"/>
      <c r="D2" s="243"/>
      <c r="E2" s="11"/>
      <c r="F2" s="11"/>
      <c r="G2" s="11"/>
      <c r="H2" s="11"/>
      <c r="I2" s="11"/>
      <c r="J2" s="11"/>
      <c r="K2" s="11"/>
    </row>
    <row r="3" spans="3:13" ht="19.8" x14ac:dyDescent="0.3">
      <c r="C3" s="596" t="s">
        <v>12</v>
      </c>
      <c r="D3" s="597"/>
      <c r="E3" s="597"/>
      <c r="F3" s="597"/>
      <c r="G3" s="597"/>
      <c r="H3" s="597"/>
      <c r="I3" s="597"/>
      <c r="J3" s="597"/>
      <c r="K3" s="598"/>
    </row>
    <row r="4" spans="3:13" ht="19.8" hidden="1" x14ac:dyDescent="0.3">
      <c r="C4" s="599" t="s">
        <v>8</v>
      </c>
      <c r="D4" s="600"/>
      <c r="E4" s="600"/>
      <c r="F4" s="600"/>
      <c r="G4" s="600"/>
      <c r="H4" s="600"/>
      <c r="I4" s="600"/>
      <c r="J4" s="600"/>
      <c r="K4" s="601"/>
    </row>
    <row r="5" spans="3:13" ht="19.8" x14ac:dyDescent="0.3">
      <c r="C5" s="599" t="s">
        <v>139</v>
      </c>
      <c r="D5" s="600"/>
      <c r="E5" s="600"/>
      <c r="F5" s="600"/>
      <c r="G5" s="600"/>
      <c r="H5" s="600"/>
      <c r="I5" s="600"/>
      <c r="J5" s="600"/>
      <c r="K5" s="601"/>
    </row>
    <row r="6" spans="3:13" ht="19.8" x14ac:dyDescent="0.3">
      <c r="C6" s="599" t="s">
        <v>476</v>
      </c>
      <c r="D6" s="600"/>
      <c r="E6" s="600"/>
      <c r="F6" s="600"/>
      <c r="G6" s="600"/>
      <c r="H6" s="600"/>
      <c r="I6" s="600"/>
      <c r="J6" s="600"/>
      <c r="K6" s="601"/>
    </row>
    <row r="7" spans="3:13" x14ac:dyDescent="0.25">
      <c r="C7" s="333"/>
      <c r="D7" s="334" t="s">
        <v>208</v>
      </c>
      <c r="E7" s="315"/>
      <c r="F7" s="315"/>
      <c r="G7" s="316"/>
      <c r="H7" s="602" t="s">
        <v>0</v>
      </c>
      <c r="I7" s="603"/>
      <c r="J7" s="317"/>
      <c r="K7" s="335"/>
    </row>
    <row r="8" spans="3:13" x14ac:dyDescent="0.25">
      <c r="C8" s="336" t="s">
        <v>3</v>
      </c>
      <c r="D8" s="336" t="s">
        <v>209</v>
      </c>
      <c r="E8" s="316"/>
      <c r="F8" s="316"/>
      <c r="G8" s="316"/>
      <c r="H8" s="318" t="s">
        <v>1</v>
      </c>
      <c r="I8" s="318"/>
      <c r="J8" s="317" t="s">
        <v>125</v>
      </c>
      <c r="K8" s="316" t="s">
        <v>137</v>
      </c>
    </row>
    <row r="9" spans="3:13" ht="13.8" x14ac:dyDescent="0.25">
      <c r="C9" s="337"/>
      <c r="D9" s="336"/>
      <c r="E9" s="319" t="s">
        <v>141</v>
      </c>
      <c r="F9" s="319" t="s">
        <v>142</v>
      </c>
      <c r="G9" s="316" t="s">
        <v>140</v>
      </c>
      <c r="H9" s="316" t="s">
        <v>7</v>
      </c>
      <c r="I9" s="316"/>
      <c r="J9" s="316" t="s">
        <v>128</v>
      </c>
      <c r="K9" s="316"/>
    </row>
    <row r="10" spans="3:13" ht="13.8" x14ac:dyDescent="0.25">
      <c r="C10" s="336"/>
      <c r="D10" s="336"/>
      <c r="E10" s="320" t="s">
        <v>65</v>
      </c>
      <c r="F10" s="338"/>
      <c r="G10" s="339"/>
      <c r="H10" s="339"/>
      <c r="I10" s="339"/>
      <c r="J10" s="340"/>
      <c r="K10" s="339"/>
    </row>
    <row r="11" spans="3:13" ht="35.1" customHeight="1" x14ac:dyDescent="0.25">
      <c r="C11" s="244"/>
      <c r="D11" s="244"/>
      <c r="E11" s="8"/>
      <c r="F11" s="132"/>
      <c r="G11" s="133"/>
      <c r="H11" s="131"/>
      <c r="I11" s="131"/>
      <c r="J11" s="131"/>
      <c r="K11" s="131"/>
      <c r="L11" s="129"/>
    </row>
    <row r="12" spans="3:13" ht="39.9" customHeight="1" x14ac:dyDescent="0.25">
      <c r="C12" s="249" t="s">
        <v>267</v>
      </c>
      <c r="D12" s="249" t="s">
        <v>214</v>
      </c>
      <c r="E12" s="250" t="s">
        <v>58</v>
      </c>
      <c r="F12" s="250" t="s">
        <v>37</v>
      </c>
      <c r="G12" s="251">
        <v>15</v>
      </c>
      <c r="H12" s="252">
        <v>1992</v>
      </c>
      <c r="I12" s="253"/>
      <c r="J12" s="254">
        <f t="shared" ref="J12:J19" si="0">H12</f>
        <v>1992</v>
      </c>
      <c r="K12" s="255"/>
      <c r="M12" s="5"/>
    </row>
    <row r="13" spans="3:13" ht="39.9" customHeight="1" x14ac:dyDescent="0.25">
      <c r="C13" s="249" t="s">
        <v>268</v>
      </c>
      <c r="D13" s="249" t="s">
        <v>450</v>
      </c>
      <c r="E13" s="250" t="s">
        <v>59</v>
      </c>
      <c r="F13" s="250" t="s">
        <v>60</v>
      </c>
      <c r="G13" s="251">
        <v>15</v>
      </c>
      <c r="H13" s="252">
        <v>2430</v>
      </c>
      <c r="I13" s="253"/>
      <c r="J13" s="254">
        <f t="shared" si="0"/>
        <v>2430</v>
      </c>
      <c r="K13" s="255"/>
      <c r="M13" s="5"/>
    </row>
    <row r="14" spans="3:13" ht="39.9" customHeight="1" x14ac:dyDescent="0.25">
      <c r="C14" s="249" t="s">
        <v>269</v>
      </c>
      <c r="D14" s="249" t="s">
        <v>450</v>
      </c>
      <c r="E14" s="250" t="s">
        <v>31</v>
      </c>
      <c r="F14" s="250" t="s">
        <v>29</v>
      </c>
      <c r="G14" s="251">
        <v>15</v>
      </c>
      <c r="H14" s="252">
        <v>3194</v>
      </c>
      <c r="I14" s="253"/>
      <c r="J14" s="254">
        <f t="shared" si="0"/>
        <v>3194</v>
      </c>
      <c r="K14" s="255"/>
      <c r="L14" s="248"/>
      <c r="M14" s="5"/>
    </row>
    <row r="15" spans="3:13" ht="39.9" customHeight="1" x14ac:dyDescent="0.25">
      <c r="C15" s="249" t="s">
        <v>270</v>
      </c>
      <c r="D15" s="249" t="s">
        <v>450</v>
      </c>
      <c r="E15" s="250" t="s">
        <v>38</v>
      </c>
      <c r="F15" s="250" t="s">
        <v>176</v>
      </c>
      <c r="G15" s="251">
        <v>15</v>
      </c>
      <c r="H15" s="252">
        <v>1918</v>
      </c>
      <c r="I15" s="253"/>
      <c r="J15" s="254">
        <f t="shared" si="0"/>
        <v>1918</v>
      </c>
      <c r="K15" s="255"/>
      <c r="L15" s="130"/>
      <c r="M15" s="128"/>
    </row>
    <row r="16" spans="3:13" ht="39.9" customHeight="1" x14ac:dyDescent="0.25">
      <c r="C16" s="249" t="s">
        <v>271</v>
      </c>
      <c r="D16" s="249" t="s">
        <v>450</v>
      </c>
      <c r="E16" s="256" t="s">
        <v>40</v>
      </c>
      <c r="F16" s="250" t="s">
        <v>41</v>
      </c>
      <c r="G16" s="257">
        <v>15</v>
      </c>
      <c r="H16" s="252">
        <v>2294</v>
      </c>
      <c r="I16" s="253"/>
      <c r="J16" s="254">
        <f t="shared" si="0"/>
        <v>2294</v>
      </c>
      <c r="K16" s="255"/>
      <c r="L16" s="130"/>
      <c r="M16" s="128"/>
    </row>
    <row r="17" spans="3:13" ht="39.9" customHeight="1" x14ac:dyDescent="0.25">
      <c r="C17" s="249" t="s">
        <v>272</v>
      </c>
      <c r="D17" s="249" t="s">
        <v>450</v>
      </c>
      <c r="E17" s="256" t="s">
        <v>54</v>
      </c>
      <c r="F17" s="250" t="s">
        <v>76</v>
      </c>
      <c r="G17" s="257">
        <v>15</v>
      </c>
      <c r="H17" s="252">
        <v>1487</v>
      </c>
      <c r="I17" s="253"/>
      <c r="J17" s="254">
        <f t="shared" si="0"/>
        <v>1487</v>
      </c>
      <c r="K17" s="255"/>
      <c r="L17" s="130"/>
      <c r="M17" s="128"/>
    </row>
    <row r="18" spans="3:13" ht="39.9" customHeight="1" x14ac:dyDescent="0.25">
      <c r="C18" s="249" t="s">
        <v>234</v>
      </c>
      <c r="D18" s="249" t="s">
        <v>450</v>
      </c>
      <c r="E18" s="250" t="s">
        <v>43</v>
      </c>
      <c r="F18" s="250" t="s">
        <v>289</v>
      </c>
      <c r="G18" s="251">
        <v>15</v>
      </c>
      <c r="H18" s="252">
        <v>1800</v>
      </c>
      <c r="I18" s="253"/>
      <c r="J18" s="254">
        <f t="shared" ref="J18" si="1">H18</f>
        <v>1800</v>
      </c>
      <c r="K18" s="255"/>
      <c r="L18" s="130"/>
      <c r="M18" s="128"/>
    </row>
    <row r="19" spans="3:13" ht="39.9" customHeight="1" x14ac:dyDescent="0.25">
      <c r="C19" s="249" t="s">
        <v>234</v>
      </c>
      <c r="D19" s="249" t="s">
        <v>214</v>
      </c>
      <c r="E19" s="250" t="s">
        <v>459</v>
      </c>
      <c r="F19" s="250" t="s">
        <v>29</v>
      </c>
      <c r="G19" s="251">
        <v>15</v>
      </c>
      <c r="H19" s="252">
        <v>2400</v>
      </c>
      <c r="I19" s="253"/>
      <c r="J19" s="254">
        <f t="shared" si="0"/>
        <v>2400</v>
      </c>
      <c r="K19" s="255"/>
      <c r="L19" s="130"/>
      <c r="M19" s="128"/>
    </row>
    <row r="20" spans="3:13" ht="35.1" customHeight="1" x14ac:dyDescent="0.25">
      <c r="C20" s="245"/>
      <c r="D20" s="245"/>
      <c r="E20" s="57"/>
      <c r="F20" s="258"/>
      <c r="G20" s="258"/>
      <c r="H20" s="442"/>
      <c r="I20" s="258"/>
      <c r="J20" s="442"/>
      <c r="K20" s="1"/>
    </row>
    <row r="21" spans="3:13" ht="35.1" customHeight="1" x14ac:dyDescent="0.25">
      <c r="C21" s="245"/>
      <c r="D21" s="245"/>
      <c r="E21" s="57"/>
      <c r="F21" s="341" t="s">
        <v>61</v>
      </c>
      <c r="G21" s="342"/>
      <c r="H21" s="343">
        <f>SUM(H12:H20)</f>
        <v>17515</v>
      </c>
      <c r="I21" s="343">
        <f>SUM(I12:I20)</f>
        <v>0</v>
      </c>
      <c r="J21" s="343">
        <f>SUM(J12:J20)</f>
        <v>17515</v>
      </c>
      <c r="K21" s="344"/>
    </row>
    <row r="22" spans="3:13" ht="35.1" customHeight="1" x14ac:dyDescent="0.25">
      <c r="C22" s="245"/>
      <c r="D22" s="245"/>
      <c r="E22" s="57"/>
      <c r="F22" s="82"/>
      <c r="G22" s="83"/>
      <c r="H22" s="84"/>
      <c r="I22" s="84"/>
      <c r="J22" s="84"/>
      <c r="K22" s="85"/>
    </row>
    <row r="23" spans="3:13" ht="35.1" customHeight="1" x14ac:dyDescent="0.25">
      <c r="C23" s="245"/>
      <c r="D23" s="245"/>
      <c r="E23" s="57"/>
      <c r="F23" s="82"/>
      <c r="G23" s="83"/>
      <c r="H23" s="84"/>
      <c r="I23" s="84"/>
      <c r="J23" s="84"/>
      <c r="K23" s="85"/>
    </row>
    <row r="24" spans="3:13" ht="35.1" customHeight="1" x14ac:dyDescent="0.25">
      <c r="C24" s="226"/>
      <c r="D24" s="226"/>
      <c r="E24" s="1"/>
      <c r="F24" s="1"/>
      <c r="G24" s="1"/>
      <c r="H24" s="1"/>
      <c r="I24" s="1"/>
      <c r="J24" s="1"/>
      <c r="K24" s="1"/>
    </row>
    <row r="25" spans="3:13" x14ac:dyDescent="0.25">
      <c r="C25" s="226"/>
      <c r="D25" s="226"/>
      <c r="E25" s="1"/>
      <c r="F25" s="1"/>
      <c r="G25" s="1"/>
      <c r="H25" s="1"/>
      <c r="I25" s="1"/>
      <c r="J25" s="1"/>
      <c r="K25" s="1"/>
    </row>
    <row r="26" spans="3:13" x14ac:dyDescent="0.25">
      <c r="C26" s="226"/>
      <c r="D26" s="226"/>
      <c r="E26" s="52"/>
      <c r="F26" s="1"/>
      <c r="G26" s="1"/>
      <c r="H26" s="1"/>
      <c r="I26" s="1"/>
      <c r="J26" s="52"/>
      <c r="K26" s="52"/>
    </row>
    <row r="27" spans="3:13" x14ac:dyDescent="0.25">
      <c r="C27" s="226"/>
      <c r="D27" s="226"/>
      <c r="E27" s="26" t="s">
        <v>423</v>
      </c>
      <c r="F27" s="1"/>
      <c r="G27" s="1"/>
      <c r="H27" s="1"/>
      <c r="I27" s="1"/>
      <c r="J27" s="595" t="s">
        <v>421</v>
      </c>
      <c r="K27" s="595"/>
    </row>
    <row r="28" spans="3:13" x14ac:dyDescent="0.25">
      <c r="C28" s="226"/>
      <c r="D28" s="226"/>
      <c r="E28" s="27" t="s">
        <v>11</v>
      </c>
      <c r="F28" s="6"/>
      <c r="G28" s="6"/>
      <c r="H28" s="6"/>
      <c r="I28" s="6"/>
      <c r="J28" s="542" t="s">
        <v>136</v>
      </c>
      <c r="K28" s="542"/>
    </row>
    <row r="29" spans="3:13" x14ac:dyDescent="0.25">
      <c r="C29" s="226"/>
      <c r="D29" s="226"/>
      <c r="E29" s="1"/>
      <c r="F29" s="1"/>
      <c r="G29" s="1"/>
      <c r="H29" s="1"/>
      <c r="I29" s="1"/>
      <c r="J29" s="1"/>
      <c r="K29" s="1"/>
    </row>
    <row r="30" spans="3:13" x14ac:dyDescent="0.25">
      <c r="C30" s="226"/>
      <c r="D30" s="226"/>
      <c r="E30" s="1"/>
      <c r="F30" s="1"/>
      <c r="G30" s="1"/>
      <c r="H30" s="1"/>
      <c r="I30" s="1"/>
      <c r="J30" s="1"/>
      <c r="K30" s="1"/>
    </row>
    <row r="31" spans="3:13" x14ac:dyDescent="0.25">
      <c r="C31" s="226"/>
      <c r="D31" s="226"/>
      <c r="E31" s="1"/>
      <c r="F31" s="1"/>
      <c r="G31" s="1"/>
      <c r="H31" s="1"/>
      <c r="I31" s="1"/>
      <c r="J31" s="1"/>
      <c r="K31" s="1"/>
    </row>
    <row r="32" spans="3:13" x14ac:dyDescent="0.25">
      <c r="C32" s="226"/>
      <c r="D32" s="226"/>
      <c r="E32" s="1"/>
      <c r="F32" s="1"/>
      <c r="G32" s="1"/>
      <c r="H32" s="1"/>
      <c r="I32" s="1"/>
      <c r="J32" s="1"/>
      <c r="K32" s="1"/>
    </row>
    <row r="33" spans="3:11" x14ac:dyDescent="0.25">
      <c r="C33" s="226"/>
      <c r="D33" s="226"/>
      <c r="E33" s="2"/>
      <c r="F33" s="1"/>
      <c r="G33" s="1"/>
      <c r="H33" s="2"/>
      <c r="I33" s="1"/>
      <c r="J33" s="1"/>
      <c r="K33" s="1"/>
    </row>
    <row r="34" spans="3:11" x14ac:dyDescent="0.25">
      <c r="C34" s="226"/>
      <c r="D34" s="226"/>
      <c r="E34" s="6"/>
      <c r="F34" s="6"/>
      <c r="G34" s="6"/>
      <c r="H34" s="6"/>
      <c r="I34" s="6"/>
      <c r="J34" s="6"/>
      <c r="K34" s="6"/>
    </row>
    <row r="35" spans="3:11" x14ac:dyDescent="0.25">
      <c r="C35" s="226"/>
      <c r="D35" s="226"/>
      <c r="E35" s="1"/>
      <c r="F35" s="1"/>
      <c r="G35" s="1"/>
      <c r="H35" s="1"/>
      <c r="I35" s="1"/>
      <c r="J35" s="1"/>
      <c r="K35" s="1"/>
    </row>
  </sheetData>
  <sheetProtection selectLockedCells="1" selectUnlockedCells="1"/>
  <mergeCells count="7">
    <mergeCell ref="J27:K27"/>
    <mergeCell ref="J28:K28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1" sqref="C11"/>
    </sheetView>
  </sheetViews>
  <sheetFormatPr baseColWidth="10" defaultColWidth="11" defaultRowHeight="12" x14ac:dyDescent="0.2"/>
  <cols>
    <col min="1" max="1" width="11" style="138"/>
    <col min="2" max="2" width="49.5546875" style="138" customWidth="1"/>
    <col min="3" max="3" width="15.44140625" style="138" customWidth="1"/>
    <col min="4" max="4" width="4.33203125" style="138" customWidth="1"/>
    <col min="5" max="5" width="11.88671875" style="138" hidden="1" customWidth="1"/>
    <col min="6" max="6" width="43.5546875" style="138" customWidth="1"/>
    <col min="7" max="7" width="12" style="138" bestFit="1" customWidth="1"/>
    <col min="8" max="8" width="12.33203125" style="138" bestFit="1" customWidth="1"/>
    <col min="9" max="9" width="11.33203125" style="138" bestFit="1" customWidth="1"/>
    <col min="10" max="10" width="10.5546875" style="138" customWidth="1"/>
    <col min="11" max="11" width="11" style="138"/>
    <col min="12" max="12" width="12" style="138" hidden="1" customWidth="1"/>
    <col min="13" max="14" width="11.33203125" style="138" hidden="1" customWidth="1"/>
    <col min="15" max="15" width="11" style="138"/>
    <col min="16" max="17" width="11.109375" style="138" bestFit="1" customWidth="1"/>
    <col min="18" max="22" width="8.6640625" style="138" customWidth="1"/>
    <col min="23" max="24" width="11" style="138"/>
    <col min="25" max="25" width="12.33203125" style="138" bestFit="1" customWidth="1"/>
    <col min="26" max="26" width="11" style="138" bestFit="1" customWidth="1"/>
    <col min="27" max="27" width="10.5546875" style="138" customWidth="1"/>
    <col min="28" max="28" width="11" style="138"/>
    <col min="29" max="29" width="12" style="138" hidden="1" customWidth="1"/>
    <col min="30" max="31" width="11.33203125" style="138" hidden="1" customWidth="1"/>
    <col min="32" max="32" width="11" style="138"/>
    <col min="33" max="34" width="11.109375" style="138" bestFit="1" customWidth="1"/>
    <col min="35" max="16384" width="11" style="138"/>
  </cols>
  <sheetData>
    <row r="1" spans="2:34" ht="13.2" x14ac:dyDescent="0.25">
      <c r="B1" s="139"/>
      <c r="C1" s="139"/>
      <c r="D1" s="139"/>
      <c r="E1" s="139"/>
      <c r="F1" s="139"/>
    </row>
    <row r="2" spans="2:34" ht="25.5" customHeight="1" x14ac:dyDescent="0.4">
      <c r="B2" s="140" t="s">
        <v>206</v>
      </c>
      <c r="C2" s="141"/>
      <c r="D2" s="141"/>
      <c r="E2" s="141"/>
      <c r="F2" s="141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142" t="s">
        <v>179</v>
      </c>
      <c r="C3" s="141"/>
      <c r="D3" s="141"/>
      <c r="E3" s="141"/>
      <c r="F3" s="141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143" t="s">
        <v>207</v>
      </c>
      <c r="C4" s="144"/>
      <c r="D4" s="141"/>
      <c r="E4" s="141"/>
      <c r="F4" s="141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145" t="s">
        <v>285</v>
      </c>
      <c r="C5" s="144"/>
      <c r="D5" s="141"/>
      <c r="E5" s="141"/>
      <c r="F5" s="141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146"/>
      <c r="C7" s="146"/>
      <c r="D7" s="146"/>
      <c r="E7" s="146"/>
      <c r="F7" s="146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146"/>
      <c r="C8" s="146"/>
      <c r="D8" s="146"/>
      <c r="E8" s="146"/>
      <c r="F8" s="146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147" t="s">
        <v>180</v>
      </c>
      <c r="C9" s="147"/>
      <c r="D9" s="148"/>
      <c r="E9" s="147"/>
      <c r="F9" s="149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148"/>
      <c r="C10" s="148"/>
      <c r="D10" s="148"/>
      <c r="E10" s="148"/>
      <c r="F10" s="148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150" t="s">
        <v>181</v>
      </c>
      <c r="C11" s="151">
        <v>17000</v>
      </c>
      <c r="D11" s="150"/>
      <c r="E11" s="150"/>
      <c r="F11" s="150"/>
      <c r="G11" s="152"/>
      <c r="H11" s="604" t="s">
        <v>279</v>
      </c>
      <c r="I11" s="604"/>
      <c r="J11" s="604"/>
      <c r="K11" s="604"/>
      <c r="L11" s="604"/>
      <c r="M11" s="604"/>
      <c r="N11" s="604"/>
      <c r="O11" s="604"/>
      <c r="R11" s="153"/>
      <c r="S11" s="153"/>
      <c r="T11" s="153"/>
      <c r="U11" s="153"/>
      <c r="V11" s="153"/>
      <c r="W11" s="153"/>
      <c r="X11" s="153"/>
      <c r="Y11" s="604" t="s">
        <v>182</v>
      </c>
      <c r="Z11" s="604"/>
      <c r="AA11" s="604"/>
      <c r="AB11" s="604"/>
      <c r="AC11" s="604"/>
      <c r="AD11" s="604"/>
      <c r="AE11" s="604"/>
      <c r="AF11" s="604"/>
    </row>
    <row r="12" spans="2:34" ht="20.25" customHeight="1" x14ac:dyDescent="0.25">
      <c r="B12" s="154" t="s">
        <v>183</v>
      </c>
      <c r="C12" s="155">
        <f>C11/15*30.4</f>
        <v>34453.333333333328</v>
      </c>
      <c r="D12" s="156"/>
      <c r="E12" s="156"/>
      <c r="F12" s="156"/>
      <c r="G12" s="157"/>
      <c r="H12" s="153"/>
      <c r="J12" s="158"/>
      <c r="K12" s="158"/>
      <c r="R12" s="1"/>
      <c r="S12" s="1"/>
      <c r="T12" s="1"/>
      <c r="U12" s="1"/>
      <c r="V12" s="1"/>
      <c r="W12" s="157"/>
      <c r="X12" s="153"/>
      <c r="Y12" s="153"/>
      <c r="AA12" s="158"/>
      <c r="AB12" s="158"/>
    </row>
    <row r="13" spans="2:34" ht="22.5" customHeight="1" x14ac:dyDescent="0.3">
      <c r="B13" s="159" t="s">
        <v>184</v>
      </c>
      <c r="C13" s="155">
        <v>0</v>
      </c>
      <c r="D13" s="156"/>
      <c r="E13" s="156"/>
      <c r="F13" s="156"/>
      <c r="H13" s="261" t="s">
        <v>281</v>
      </c>
      <c r="I13" s="160"/>
      <c r="J13" s="153"/>
      <c r="K13" s="1"/>
      <c r="L13" s="160"/>
      <c r="M13" s="153"/>
      <c r="N13" s="153"/>
      <c r="P13" s="160" t="s">
        <v>129</v>
      </c>
      <c r="Q13" s="161"/>
      <c r="Y13" s="160" t="s">
        <v>185</v>
      </c>
      <c r="Z13" s="160"/>
      <c r="AA13" s="153"/>
      <c r="AB13" s="1"/>
      <c r="AC13" s="160"/>
      <c r="AD13" s="153"/>
      <c r="AE13" s="153"/>
      <c r="AG13" s="160" t="s">
        <v>129</v>
      </c>
      <c r="AH13" s="161"/>
    </row>
    <row r="14" spans="2:34" ht="13.5" customHeight="1" x14ac:dyDescent="0.3">
      <c r="B14" s="159" t="s">
        <v>186</v>
      </c>
      <c r="C14" s="162"/>
      <c r="D14" s="156"/>
      <c r="E14" s="156"/>
      <c r="F14" s="156"/>
      <c r="H14" s="152" t="s">
        <v>180</v>
      </c>
      <c r="I14" s="153"/>
      <c r="J14" s="160"/>
      <c r="K14" s="163"/>
      <c r="L14" s="152"/>
      <c r="M14" s="160"/>
      <c r="N14" s="164"/>
      <c r="O14" s="165"/>
      <c r="P14" s="152" t="s">
        <v>187</v>
      </c>
      <c r="Q14" s="166"/>
      <c r="Y14" s="152" t="s">
        <v>180</v>
      </c>
      <c r="Z14" s="153"/>
      <c r="AA14" s="160"/>
      <c r="AB14" s="163"/>
      <c r="AC14" s="152"/>
      <c r="AD14" s="160"/>
      <c r="AE14" s="164"/>
      <c r="AF14" s="165"/>
      <c r="AG14" s="152" t="s">
        <v>187</v>
      </c>
      <c r="AH14" s="166"/>
    </row>
    <row r="15" spans="2:34" ht="20.25" customHeight="1" x14ac:dyDescent="0.25">
      <c r="B15" s="159" t="s">
        <v>188</v>
      </c>
      <c r="C15" s="155">
        <f>C12-C13</f>
        <v>34453.333333333328</v>
      </c>
      <c r="D15" s="156"/>
      <c r="E15" s="167"/>
      <c r="F15" s="156"/>
      <c r="H15" s="168" t="s">
        <v>189</v>
      </c>
      <c r="I15" s="168" t="s">
        <v>190</v>
      </c>
      <c r="J15" s="168" t="s">
        <v>191</v>
      </c>
      <c r="K15" s="169"/>
      <c r="L15" s="168"/>
      <c r="M15" s="168"/>
      <c r="N15" s="168"/>
      <c r="O15" s="170"/>
      <c r="P15" s="168" t="s">
        <v>192</v>
      </c>
      <c r="Q15" s="168" t="s">
        <v>129</v>
      </c>
      <c r="Y15" s="168" t="s">
        <v>189</v>
      </c>
      <c r="Z15" s="168" t="s">
        <v>190</v>
      </c>
      <c r="AA15" s="168" t="s">
        <v>191</v>
      </c>
      <c r="AB15" s="169"/>
      <c r="AC15" s="168"/>
      <c r="AD15" s="168"/>
      <c r="AE15" s="168"/>
      <c r="AF15" s="170"/>
      <c r="AG15" s="168" t="s">
        <v>192</v>
      </c>
      <c r="AH15" s="168" t="s">
        <v>129</v>
      </c>
    </row>
    <row r="16" spans="2:34" ht="22.5" customHeight="1" x14ac:dyDescent="0.25">
      <c r="B16" s="159" t="s">
        <v>193</v>
      </c>
      <c r="C16" s="155">
        <f>VLOOKUP(C15,TARIFA,1)</f>
        <v>26988.51</v>
      </c>
      <c r="D16" s="156"/>
      <c r="E16" s="167"/>
      <c r="F16" s="156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156"/>
      <c r="C17" s="162"/>
      <c r="D17" s="156"/>
      <c r="E17" s="171"/>
      <c r="F17" s="156"/>
      <c r="H17" s="172">
        <v>0.01</v>
      </c>
      <c r="I17" s="172">
        <v>0</v>
      </c>
      <c r="J17" s="173">
        <v>1.9199999999999998E-2</v>
      </c>
      <c r="K17" s="172"/>
      <c r="L17" s="172"/>
      <c r="M17" s="172"/>
      <c r="N17" s="173"/>
      <c r="O17" s="172"/>
      <c r="P17" s="172">
        <v>0.01</v>
      </c>
      <c r="Q17" s="172">
        <v>407.02</v>
      </c>
      <c r="Y17" s="172">
        <v>0.01</v>
      </c>
      <c r="Z17" s="172">
        <v>0</v>
      </c>
      <c r="AA17" s="173">
        <v>1.9199999999999998E-2</v>
      </c>
      <c r="AB17" s="172"/>
      <c r="AC17" s="172"/>
      <c r="AD17" s="172"/>
      <c r="AE17" s="173"/>
      <c r="AF17" s="172"/>
      <c r="AG17" s="172">
        <v>0.01</v>
      </c>
      <c r="AH17" s="172">
        <v>407.02</v>
      </c>
    </row>
    <row r="18" spans="2:34" ht="20.25" customHeight="1" x14ac:dyDescent="0.25">
      <c r="B18" s="159" t="s">
        <v>194</v>
      </c>
      <c r="C18" s="155">
        <f>C15-C16</f>
        <v>7464.8233333333301</v>
      </c>
      <c r="D18" s="167"/>
      <c r="E18" s="167"/>
      <c r="F18" s="156"/>
      <c r="H18" s="172">
        <v>644.59</v>
      </c>
      <c r="I18" s="172">
        <v>12.38</v>
      </c>
      <c r="J18" s="173">
        <v>6.4000000000000001E-2</v>
      </c>
      <c r="K18" s="172"/>
      <c r="L18" s="172"/>
      <c r="M18" s="172"/>
      <c r="N18" s="173"/>
      <c r="O18" s="172"/>
      <c r="P18" s="172">
        <v>1768.97</v>
      </c>
      <c r="Q18" s="172">
        <v>406.83</v>
      </c>
      <c r="Y18" s="172">
        <v>578.53</v>
      </c>
      <c r="Z18" s="172">
        <v>11.11</v>
      </c>
      <c r="AA18" s="173">
        <v>6.4000000000000001E-2</v>
      </c>
      <c r="AB18" s="172"/>
      <c r="AC18" s="172"/>
      <c r="AD18" s="172"/>
      <c r="AE18" s="173"/>
      <c r="AF18" s="172"/>
      <c r="AG18" s="172">
        <v>1768.97</v>
      </c>
      <c r="AH18" s="172">
        <v>406.83</v>
      </c>
    </row>
    <row r="19" spans="2:34" ht="22.5" customHeight="1" x14ac:dyDescent="0.25">
      <c r="B19" s="159" t="s">
        <v>195</v>
      </c>
      <c r="C19" s="174">
        <f>VLOOKUP(C15,TARIFA,3)</f>
        <v>0.23519999999999999</v>
      </c>
      <c r="D19" s="156"/>
      <c r="E19" s="175"/>
      <c r="F19" s="156"/>
      <c r="H19" s="172">
        <v>5470.93</v>
      </c>
      <c r="I19" s="172">
        <v>321.26</v>
      </c>
      <c r="J19" s="173">
        <v>0.10879999999999999</v>
      </c>
      <c r="K19" s="172"/>
      <c r="L19" s="172"/>
      <c r="M19" s="172"/>
      <c r="N19" s="173"/>
      <c r="O19" s="172"/>
      <c r="P19" s="172">
        <v>2653.39</v>
      </c>
      <c r="Q19" s="172">
        <v>406.62</v>
      </c>
      <c r="Y19" s="172">
        <v>4910.1899999999996</v>
      </c>
      <c r="Z19" s="172">
        <v>288.33</v>
      </c>
      <c r="AA19" s="173">
        <v>0.10879999999999999</v>
      </c>
      <c r="AB19" s="172"/>
      <c r="AC19" s="172"/>
      <c r="AD19" s="172"/>
      <c r="AE19" s="173"/>
      <c r="AF19" s="172"/>
      <c r="AG19" s="172">
        <v>2653.39</v>
      </c>
      <c r="AH19" s="172">
        <v>406.62</v>
      </c>
    </row>
    <row r="20" spans="2:34" ht="14.25" customHeight="1" x14ac:dyDescent="0.25">
      <c r="B20" s="156"/>
      <c r="C20" s="171"/>
      <c r="D20" s="156"/>
      <c r="E20" s="171"/>
      <c r="F20" s="156"/>
      <c r="H20" s="172">
        <v>9614.67</v>
      </c>
      <c r="I20" s="172">
        <v>772.1</v>
      </c>
      <c r="J20" s="173">
        <v>0.16</v>
      </c>
      <c r="K20" s="172"/>
      <c r="L20" s="172"/>
      <c r="M20" s="172"/>
      <c r="N20" s="173"/>
      <c r="O20" s="172"/>
      <c r="P20" s="172">
        <v>3472.85</v>
      </c>
      <c r="Q20" s="172">
        <v>392.77</v>
      </c>
      <c r="Y20" s="172">
        <v>8629.2099999999991</v>
      </c>
      <c r="Z20" s="172">
        <v>692.96</v>
      </c>
      <c r="AA20" s="173">
        <v>0.16</v>
      </c>
      <c r="AB20" s="172"/>
      <c r="AC20" s="172"/>
      <c r="AD20" s="172"/>
      <c r="AE20" s="173"/>
      <c r="AF20" s="172"/>
      <c r="AG20" s="172">
        <v>3472.85</v>
      </c>
      <c r="AH20" s="172">
        <v>392.77</v>
      </c>
    </row>
    <row r="21" spans="2:34" ht="20.25" customHeight="1" x14ac:dyDescent="0.25">
      <c r="B21" s="176" t="s">
        <v>196</v>
      </c>
      <c r="C21" s="177">
        <f>C18*C19</f>
        <v>1755.7264479999992</v>
      </c>
      <c r="D21" s="178"/>
      <c r="E21" s="178"/>
      <c r="F21" s="156"/>
      <c r="H21" s="172">
        <v>11176.63</v>
      </c>
      <c r="I21" s="172">
        <v>1022.01</v>
      </c>
      <c r="J21" s="173">
        <v>0.1792</v>
      </c>
      <c r="K21" s="172"/>
      <c r="L21" s="172"/>
      <c r="M21" s="172"/>
      <c r="N21" s="173"/>
      <c r="O21" s="172"/>
      <c r="P21" s="172">
        <v>3537.88</v>
      </c>
      <c r="Q21" s="172">
        <v>382.46</v>
      </c>
      <c r="Y21" s="172">
        <v>10031.08</v>
      </c>
      <c r="Z21" s="172">
        <v>917.26</v>
      </c>
      <c r="AA21" s="173">
        <v>0.1792</v>
      </c>
      <c r="AB21" s="172"/>
      <c r="AC21" s="172"/>
      <c r="AD21" s="172"/>
      <c r="AE21" s="173"/>
      <c r="AF21" s="172"/>
      <c r="AG21" s="172">
        <v>3537.88</v>
      </c>
      <c r="AH21" s="172">
        <v>382.46</v>
      </c>
    </row>
    <row r="22" spans="2:34" ht="17.25" customHeight="1" x14ac:dyDescent="0.25">
      <c r="B22" s="159" t="s">
        <v>197</v>
      </c>
      <c r="C22" s="155">
        <f>VLOOKUP(C15,TARIFA,2)</f>
        <v>4323.58</v>
      </c>
      <c r="D22" s="156"/>
      <c r="E22" s="179"/>
      <c r="F22" s="156"/>
      <c r="H22" s="172">
        <v>13381.48</v>
      </c>
      <c r="I22" s="172">
        <v>1417.12</v>
      </c>
      <c r="J22" s="173">
        <v>0.21360000000000001</v>
      </c>
      <c r="K22" s="172"/>
      <c r="L22" s="172"/>
      <c r="M22" s="172"/>
      <c r="N22" s="173"/>
      <c r="O22" s="172"/>
      <c r="P22" s="172">
        <v>4446.16</v>
      </c>
      <c r="Q22" s="172">
        <v>354.23</v>
      </c>
      <c r="Y22" s="172">
        <v>12009.95</v>
      </c>
      <c r="Z22" s="172">
        <v>1271.8699999999999</v>
      </c>
      <c r="AA22" s="173">
        <v>0.21360000000000001</v>
      </c>
      <c r="AB22" s="172"/>
      <c r="AC22" s="172"/>
      <c r="AD22" s="172"/>
      <c r="AE22" s="173"/>
      <c r="AF22" s="172"/>
      <c r="AG22" s="172">
        <v>4446.16</v>
      </c>
      <c r="AH22" s="172">
        <v>354.23</v>
      </c>
    </row>
    <row r="23" spans="2:34" ht="14.25" customHeight="1" x14ac:dyDescent="0.25">
      <c r="B23" s="57"/>
      <c r="C23" s="180"/>
      <c r="D23" s="156"/>
      <c r="E23" s="171"/>
      <c r="F23" s="156"/>
      <c r="H23" s="172">
        <v>26988.51</v>
      </c>
      <c r="I23" s="172">
        <v>4323.58</v>
      </c>
      <c r="J23" s="173">
        <v>0.23519999999999999</v>
      </c>
      <c r="K23" s="172"/>
      <c r="L23" s="172"/>
      <c r="M23" s="172"/>
      <c r="N23" s="173"/>
      <c r="O23" s="172"/>
      <c r="P23" s="172">
        <v>4717.1899999999996</v>
      </c>
      <c r="Q23" s="172">
        <v>324.87</v>
      </c>
      <c r="Y23" s="172">
        <v>24222.32</v>
      </c>
      <c r="Z23" s="172">
        <v>3880.44</v>
      </c>
      <c r="AA23" s="173">
        <v>0.23519999999999999</v>
      </c>
      <c r="AB23" s="172"/>
      <c r="AC23" s="172"/>
      <c r="AD23" s="172"/>
      <c r="AE23" s="173"/>
      <c r="AF23" s="172"/>
      <c r="AG23" s="172">
        <v>4717.1899999999996</v>
      </c>
      <c r="AH23" s="172">
        <v>324.87</v>
      </c>
    </row>
    <row r="24" spans="2:34" ht="20.25" customHeight="1" x14ac:dyDescent="0.25">
      <c r="B24" s="57" t="s">
        <v>198</v>
      </c>
      <c r="C24" s="180">
        <f>+C21+C22</f>
        <v>6079.3064479999994</v>
      </c>
      <c r="D24" s="156"/>
      <c r="E24" s="178"/>
      <c r="F24" s="181"/>
      <c r="H24" s="172">
        <v>42537.59</v>
      </c>
      <c r="I24" s="172">
        <v>7980.73</v>
      </c>
      <c r="J24" s="173">
        <v>0.3</v>
      </c>
      <c r="K24" s="172"/>
      <c r="L24" s="172"/>
      <c r="M24" s="172"/>
      <c r="N24" s="173"/>
      <c r="O24" s="172"/>
      <c r="P24" s="172">
        <v>5335.43</v>
      </c>
      <c r="Q24" s="172">
        <v>294.63</v>
      </c>
      <c r="Y24" s="172">
        <v>38177.699999999997</v>
      </c>
      <c r="Z24" s="172">
        <v>7162.74</v>
      </c>
      <c r="AA24" s="173">
        <v>0.3</v>
      </c>
      <c r="AB24" s="172"/>
      <c r="AC24" s="172"/>
      <c r="AD24" s="172"/>
      <c r="AE24" s="173"/>
      <c r="AF24" s="172"/>
      <c r="AG24" s="172">
        <v>5335.43</v>
      </c>
      <c r="AH24" s="172">
        <v>294.63</v>
      </c>
    </row>
    <row r="25" spans="2:34" ht="21.75" customHeight="1" x14ac:dyDescent="0.25">
      <c r="C25" s="182"/>
      <c r="D25" s="183"/>
      <c r="E25" s="167"/>
      <c r="F25" s="156"/>
      <c r="H25" s="172">
        <v>81211.259999999995</v>
      </c>
      <c r="I25" s="172">
        <v>19582.830000000002</v>
      </c>
      <c r="J25" s="173">
        <v>0.32</v>
      </c>
      <c r="K25" s="172"/>
      <c r="L25" s="172"/>
      <c r="M25" s="172"/>
      <c r="N25" s="184"/>
      <c r="O25" s="172"/>
      <c r="P25" s="172">
        <v>6224.68</v>
      </c>
      <c r="Q25" s="172">
        <v>253.54</v>
      </c>
      <c r="Y25" s="172">
        <v>72887.509999999995</v>
      </c>
      <c r="Z25" s="172">
        <v>17575.689999999999</v>
      </c>
      <c r="AA25" s="173">
        <v>0.32</v>
      </c>
      <c r="AB25" s="172"/>
      <c r="AC25" s="172"/>
      <c r="AD25" s="172"/>
      <c r="AE25" s="184"/>
      <c r="AF25" s="172"/>
      <c r="AG25" s="172">
        <v>6224.68</v>
      </c>
      <c r="AH25" s="172">
        <v>253.54</v>
      </c>
    </row>
    <row r="26" spans="2:34" ht="21.75" customHeight="1" x14ac:dyDescent="0.25">
      <c r="B26" s="159" t="s">
        <v>199</v>
      </c>
      <c r="C26" s="155">
        <f>VLOOKUP(C15,SUBSIDIO,2)</f>
        <v>0</v>
      </c>
      <c r="D26" s="156"/>
      <c r="E26" s="185"/>
      <c r="F26" s="57"/>
      <c r="H26" s="172">
        <v>108281.68</v>
      </c>
      <c r="I26" s="172">
        <v>28245.360000000001</v>
      </c>
      <c r="J26" s="173">
        <v>0.34</v>
      </c>
      <c r="K26" s="172"/>
      <c r="L26" s="172"/>
      <c r="M26" s="172"/>
      <c r="N26" s="172"/>
      <c r="O26" s="172"/>
      <c r="P26" s="172">
        <v>7113.91</v>
      </c>
      <c r="Q26" s="172">
        <v>217.61</v>
      </c>
      <c r="Y26" s="172">
        <v>97183.34</v>
      </c>
      <c r="Z26" s="172">
        <v>25350.35</v>
      </c>
      <c r="AA26" s="173">
        <v>0.34</v>
      </c>
      <c r="AB26" s="172"/>
      <c r="AC26" s="172"/>
      <c r="AD26" s="172"/>
      <c r="AE26" s="172"/>
      <c r="AF26" s="172"/>
      <c r="AG26" s="172">
        <v>7113.91</v>
      </c>
      <c r="AH26" s="172">
        <v>217.61</v>
      </c>
    </row>
    <row r="27" spans="2:34" ht="13.8" x14ac:dyDescent="0.25">
      <c r="B27" s="156"/>
      <c r="C27" s="162"/>
      <c r="D27" s="156"/>
      <c r="E27" s="171"/>
      <c r="F27" s="186"/>
      <c r="H27" s="172">
        <v>324845.02</v>
      </c>
      <c r="I27" s="172">
        <v>101876.9</v>
      </c>
      <c r="J27" s="173">
        <v>0.35</v>
      </c>
      <c r="K27" s="172"/>
      <c r="L27" s="172"/>
      <c r="M27" s="172"/>
      <c r="N27" s="172"/>
      <c r="O27" s="172"/>
      <c r="P27" s="172">
        <v>7382.34</v>
      </c>
      <c r="Q27" s="172">
        <v>0</v>
      </c>
      <c r="Y27" s="172">
        <v>291550.01</v>
      </c>
      <c r="Z27" s="172">
        <v>91435.02</v>
      </c>
      <c r="AA27" s="173">
        <v>0.35</v>
      </c>
      <c r="AB27" s="172"/>
      <c r="AC27" s="172"/>
      <c r="AD27" s="172"/>
      <c r="AE27" s="172"/>
      <c r="AF27" s="172"/>
      <c r="AG27" s="172">
        <v>7382.34</v>
      </c>
      <c r="AH27" s="172">
        <v>0</v>
      </c>
    </row>
    <row r="28" spans="2:34" ht="21.75" customHeight="1" thickBot="1" x14ac:dyDescent="0.3">
      <c r="B28" s="154" t="s">
        <v>200</v>
      </c>
      <c r="C28" s="187">
        <f>IF(C24&gt;C26,C24-C26,0)</f>
        <v>6079.3064479999994</v>
      </c>
      <c r="D28" s="156"/>
      <c r="E28" s="171"/>
      <c r="F28" s="156"/>
      <c r="H28" s="172"/>
      <c r="I28" s="172"/>
      <c r="J28" s="173"/>
      <c r="Y28" s="172"/>
      <c r="Z28" s="172"/>
      <c r="AA28" s="173"/>
    </row>
    <row r="29" spans="2:34" ht="20.25" customHeight="1" thickTop="1" thickBot="1" x14ac:dyDescent="0.3">
      <c r="C29" s="182"/>
      <c r="D29" s="156"/>
      <c r="E29" s="156"/>
      <c r="F29" s="156"/>
      <c r="H29" s="172"/>
      <c r="I29" s="172"/>
      <c r="J29" s="172"/>
      <c r="Y29" s="172"/>
      <c r="Z29" s="172"/>
      <c r="AA29" s="172"/>
    </row>
    <row r="30" spans="2:34" ht="20.25" customHeight="1" thickTop="1" thickBot="1" x14ac:dyDescent="0.3">
      <c r="B30" s="154" t="s">
        <v>201</v>
      </c>
      <c r="C30" s="188">
        <f>IF(C24&lt;C26,C26-C24,0)</f>
        <v>0</v>
      </c>
      <c r="D30" s="156"/>
      <c r="E30" s="156"/>
      <c r="F30" s="156"/>
      <c r="H30" s="172"/>
      <c r="I30" s="172"/>
      <c r="J30" s="172"/>
      <c r="Y30" s="172"/>
      <c r="Z30" s="172"/>
      <c r="AA30" s="172"/>
    </row>
    <row r="31" spans="2:34" ht="27.75" customHeight="1" thickBot="1" x14ac:dyDescent="0.3">
      <c r="B31" s="189" t="s">
        <v>202</v>
      </c>
      <c r="C31" s="190">
        <f>IF((C28/30.4*15)&gt;0,(C28/30.4*15),0)</f>
        <v>2999.657786842105</v>
      </c>
      <c r="D31" s="156"/>
      <c r="E31" s="156"/>
      <c r="F31" s="156"/>
    </row>
    <row r="32" spans="2:34" ht="20.25" customHeight="1" thickBot="1" x14ac:dyDescent="0.3">
      <c r="B32" s="189" t="s">
        <v>203</v>
      </c>
      <c r="C32" s="190">
        <f>IF((C30/30.4*15)&gt;0,(C30/30.4*15),0)</f>
        <v>0</v>
      </c>
      <c r="D32" s="156"/>
      <c r="E32" s="156"/>
      <c r="F32" s="156"/>
    </row>
    <row r="33" spans="2:6" ht="20.25" customHeight="1" x14ac:dyDescent="0.25">
      <c r="B33" s="57"/>
      <c r="C33" s="57"/>
      <c r="D33" s="156"/>
      <c r="E33" s="156"/>
      <c r="F33" s="156"/>
    </row>
    <row r="34" spans="2:6" ht="20.25" customHeight="1" x14ac:dyDescent="0.3">
      <c r="B34" s="191" t="s">
        <v>204</v>
      </c>
      <c r="C34" s="57"/>
      <c r="D34" s="156"/>
      <c r="E34" s="156"/>
      <c r="F34" s="156"/>
    </row>
    <row r="35" spans="2:6" ht="10.5" customHeight="1" x14ac:dyDescent="0.25">
      <c r="B35" s="139"/>
      <c r="C35" s="139"/>
      <c r="D35" s="139"/>
      <c r="E35" s="139"/>
      <c r="F35" s="139"/>
    </row>
    <row r="36" spans="2:6" ht="18" customHeight="1" x14ac:dyDescent="0.3">
      <c r="B36" s="192" t="s">
        <v>205</v>
      </c>
      <c r="C36" s="193"/>
      <c r="D36" s="139"/>
      <c r="E36" s="139"/>
      <c r="F36" s="139"/>
    </row>
    <row r="37" spans="2:6" ht="17.25" customHeight="1" x14ac:dyDescent="0.3">
      <c r="B37" s="192" t="s">
        <v>280</v>
      </c>
      <c r="C37" s="193"/>
      <c r="D37" s="139"/>
      <c r="E37" s="139"/>
      <c r="F37" s="139"/>
    </row>
    <row r="38" spans="2:6" ht="13.2" x14ac:dyDescent="0.25">
      <c r="B38" s="139"/>
      <c r="C38" s="139"/>
      <c r="D38" s="139"/>
      <c r="E38" s="139"/>
      <c r="F38" s="1"/>
    </row>
    <row r="39" spans="2:6" ht="13.2" x14ac:dyDescent="0.25">
      <c r="B39" s="139"/>
      <c r="C39" s="139"/>
      <c r="D39" s="139"/>
      <c r="E39" s="139"/>
      <c r="F39" s="194"/>
    </row>
    <row r="40" spans="2:6" ht="13.2" x14ac:dyDescent="0.25">
      <c r="B40" s="139"/>
      <c r="C40" s="139"/>
      <c r="D40" s="139"/>
      <c r="E40" s="139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2021-12-30T16:47:18Z</cp:lastPrinted>
  <dcterms:created xsi:type="dcterms:W3CDTF">2000-05-05T04:08:27Z</dcterms:created>
  <dcterms:modified xsi:type="dcterms:W3CDTF">2022-01-04T16:15:26Z</dcterms:modified>
</cp:coreProperties>
</file>